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<sst xmlns="http://schemas.openxmlformats.org/spreadsheetml/2006/main" count="416" uniqueCount="203">
  <si>
    <t>ОТЧЕТ ОБ ИСПОЛНЕНИИ БЮДЖЕТА</t>
  </si>
  <si>
    <t>КОДЫ</t>
  </si>
  <si>
    <t xml:space="preserve">Форма по ОКУД </t>
  </si>
  <si>
    <t>0503117</t>
  </si>
  <si>
    <t>на 1 октября 2016 г.</t>
  </si>
  <si>
    <t xml:space="preserve">Дата </t>
  </si>
  <si>
    <t>Наименование финансового органа</t>
  </si>
  <si>
    <t>Администрация муниципального образования поселок Ханымей</t>
  </si>
  <si>
    <t xml:space="preserve">по ОКПО </t>
  </si>
  <si>
    <t xml:space="preserve">Глава по БК </t>
  </si>
  <si>
    <t>79559242</t>
  </si>
  <si>
    <t>954</t>
  </si>
  <si>
    <t>Наименование публично-правового образования</t>
  </si>
  <si>
    <t>Бюджет Администрации МО поселок Ханымей</t>
  </si>
  <si>
    <t xml:space="preserve">по ОКТМО </t>
  </si>
  <si>
    <t>71160917001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</si>
  <si>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</si>
  <si>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</si>
  <si>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</si>
  <si>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</si>
  <si>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</si>
  <si>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</si>
  <si>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</si>
  <si>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</si>
  <si>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</si>
  <si>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</si>
  <si>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</si>
  <si>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</si>
  <si>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</si>
  <si>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</si>
  <si>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</si>
  <si>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</si>
  <si>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</si>
  <si>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</si>
  <si>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</si>
  <si>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</si>
  <si>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</si>
  <si>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</si>
  <si>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</si>
  <si>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</si>
  <si>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</si>
  <si>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</si>
  <si>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</si>
  <si>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</si>
  <si>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</si>
  <si>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</si>
  <si>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</si>
  <si>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</si>
  <si>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</si>
  <si>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</si>
  <si>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</si>
  <si>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</si>
  <si>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</si>
  <si>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</si>
  <si>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</si>
  <si>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</si>
  <si>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</si>
  <si>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</si>
  <si>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</si>
  <si>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</si>
  <si>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</si>
  <si>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</si>
  <si>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</si>
  <si>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954 10804020 01 0000 110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</si>
  <si>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</si>
  <si>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954 11109045 10 0000 120</t>
  </si>
  <si>
    <t>Прочие доходы от компенсации затрат бюджетов сельских поселений</t>
  </si>
  <si>
    <t>954 11302995 10 0000 130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</si>
  <si>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</si>
  <si>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954 11402053 10 0000 410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</si>
  <si>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</si>
  <si>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954 11690050 10 0000 140</t>
  </si>
  <si>
    <t>Невыясненные поступления, зачисляемые в бюджеты сельских поселений</t>
  </si>
  <si>
    <t>954 11701050 10 0000 180</t>
  </si>
  <si>
    <t>Дотации бюджетам сельских поселений на выравнивание бюджетной обеспеченности</t>
  </si>
  <si>
    <t>954 20201001 10 0000 151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</si>
  <si>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</si>
  <si>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954 20203015 10 0000 151</t>
  </si>
  <si>
    <t>Субвенции бюджетам сельских поселений на выполнение передаваемых полномочий субъектов Российской Федерации</t>
  </si>
  <si>
    <t>954 20203024 10 0000 151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</si>
  <si>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</si>
  <si>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954 20204012 10 0000 151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</si>
  <si>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</si>
  <si>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954 20204052 10 0000 151</t>
  </si>
  <si>
    <t>Прочие межбюджетные трансферты, передаваемые бюджетам сельских поселений</t>
  </si>
  <si>
    <t>954 20204999 10 0000 151</t>
  </si>
  <si>
    <t>Прочие безвозмездные поступления в бюджеты сельских поселений</t>
  </si>
  <si>
    <t>954 20705030 10 0000 180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</si>
  <si>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</si>
  <si>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954 21905000 10 0000 151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</si>
  <si>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</si>
  <si>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</si>
  <si>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</si>
  <si>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</si>
  <si>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</si>
  <si>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</si>
  <si>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Прочая закупка товаров, работ и услуг для обеспечения государственных (муниципальных) нужд</t>
  </si>
  <si>
    <t>380 0103 9890011040 244</t>
  </si>
  <si>
    <t>Уплата иных платежей</t>
  </si>
  <si>
    <t>380 0103 9890011040 853</t>
  </si>
  <si>
    <t>Иные межбюджетные трансферты</t>
  </si>
  <si>
    <t>380 0103 9890042090 540</t>
  </si>
  <si>
    <t>Фонд оплаты труда государственных (муниципальных) органов</t>
  </si>
  <si>
    <t>954 0102 54Ц0111010 121</t>
  </si>
  <si>
    <t>Иные выплаты персоналу государственных (муниципальных) органов, за исключением фонда оплаты труда</t>
  </si>
  <si>
    <t>954 0102 54Ц0111010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</si>
  <si>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</si>
  <si>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954 0102 54Ц0111010 129</t>
  </si>
  <si>
    <t>954 0104 54Ц0111040 121</t>
  </si>
  <si>
    <t>954 0104 54Ц0111040 122</t>
  </si>
  <si>
    <t>954 0104 54Ц0111040 129</t>
  </si>
  <si>
    <t>954 0104 54Ц0111040 244</t>
  </si>
  <si>
    <t>Уплата налога на имущество организаций и земельного налога</t>
  </si>
  <si>
    <t>954 0104 54Ц0111040 851</t>
  </si>
  <si>
    <t>Уплата прочих налогов, сборов</t>
  </si>
  <si>
    <t>954 0104 54Ц0111040 852</t>
  </si>
  <si>
    <t>954 0104 54Ц0111040 853</t>
  </si>
  <si>
    <t>954 0104 54Ц0142010 540</t>
  </si>
  <si>
    <t>954 0104 54Ц0142020 540</t>
  </si>
  <si>
    <t>954 0104 54Ц0142030 540</t>
  </si>
  <si>
    <t>954 0104 54Ц0142040 540</t>
  </si>
  <si>
    <t>Резервные средства</t>
  </si>
  <si>
    <t>954 0111 9890090070 870</t>
  </si>
  <si>
    <t>954 0113 5410180030 244</t>
  </si>
  <si>
    <t>954 0113 5410180030 852</t>
  </si>
  <si>
    <t>954 0113 5410284370 244</t>
  </si>
  <si>
    <t>Публичные нормативные выплаты гражданам несоциального характера</t>
  </si>
  <si>
    <t>954 0113 5410284370 330</t>
  </si>
  <si>
    <t>Иные выплаты населению</t>
  </si>
  <si>
    <t>954 0113 5410284370 360</t>
  </si>
  <si>
    <t>954 0113 5410397030 244</t>
  </si>
  <si>
    <t>954 0113 5410461710 244</t>
  </si>
  <si>
    <t>954 0113 54Ц0173010 244</t>
  </si>
  <si>
    <t>954 0203 54Ц0151180 121</t>
  </si>
  <si>
    <t>954 0203 54Ц0151180 122</t>
  </si>
  <si>
    <t>954 0203 54Ц0151180 129</t>
  </si>
  <si>
    <t>954 0310 5410397030 244</t>
  </si>
  <si>
    <t>Субсидии некоммерческим организациям (за исключением государственных (муниципальных) учреждений)</t>
  </si>
  <si>
    <t>954 0310 5410397030 630</t>
  </si>
  <si>
    <t>954 0314 5410380350 630</t>
  </si>
  <si>
    <t>954 0409 5420241010 244</t>
  </si>
  <si>
    <t>954 0409 5420241020 244</t>
  </si>
  <si>
    <t>954 0409 5420260520 244</t>
  </si>
  <si>
    <t>954 0409 5420271450 244</t>
  </si>
  <si>
    <t>954 0409 54202S1450 244</t>
  </si>
  <si>
    <t>954 0412 5410461710 244</t>
  </si>
  <si>
    <t>954 0501 5420164370 244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</si>
  <si>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</si>
  <si>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954 0501 5420171440 810</t>
  </si>
  <si>
    <t>954 0501 54201S1440 244</t>
  </si>
  <si>
    <t>954 0501 54201S1440 810</t>
  </si>
  <si>
    <t>954 0502 5420142070 540</t>
  </si>
  <si>
    <t>954 0502 5420164360 810</t>
  </si>
  <si>
    <t>954 0502 5420164370 244</t>
  </si>
  <si>
    <t>954 0503 5420141070 244</t>
  </si>
  <si>
    <t>954 0503 5420164350 244</t>
  </si>
  <si>
    <t>954 0503 5420171340 244</t>
  </si>
  <si>
    <t>954 0503 54201S1340 244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</si>
  <si>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</si>
  <si>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954 0707 5430187020 113</t>
  </si>
  <si>
    <t>954 0707 5430187020 244</t>
  </si>
  <si>
    <t>954 0801 5430242050 540</t>
  </si>
  <si>
    <t>Субсидии бюджетным учреждениям на иные цели</t>
  </si>
  <si>
    <t>954 0801 5430251470 612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</si>
  <si>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</si>
  <si>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954 0801 5430288310 611</t>
  </si>
  <si>
    <t>954 0801 5430288310 612</t>
  </si>
  <si>
    <t>954 0801 5430288330 611</t>
  </si>
  <si>
    <t>954 0801 5430288330 612</t>
  </si>
  <si>
    <t>Пособия, компенсации и иные социальные выплаты гражданам, кроме публичных нормативных обязательств</t>
  </si>
  <si>
    <t>954 1001 5430484310 321</t>
  </si>
  <si>
    <t>Пособия, компенсации, меры социальной поддержки по публичным нормативным обязательствам</t>
  </si>
  <si>
    <t>954 1003 5430275310 313</t>
  </si>
  <si>
    <t>954 1003 5430275330 313</t>
  </si>
  <si>
    <t>954 1003 5430375510 313</t>
  </si>
  <si>
    <t>954 1006 54101S1200 244</t>
  </si>
  <si>
    <t>954 1006 54Ц0111010 360</t>
  </si>
  <si>
    <t>954 1006 54Ц0111040 360</t>
  </si>
  <si>
    <t>954 1006 9890084460 321</t>
  </si>
  <si>
    <t>954 1101 5430383010 244</t>
  </si>
  <si>
    <t>954 1101 5430383310 611</t>
  </si>
  <si>
    <t>954 1101 5430383310 612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</si>
  <si>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</si>
  <si>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</si>
  <si>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</si>
  <si>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</si>
  <si>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</si>
  <si>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</si>
  <si>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</si>
  <si>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</si>
  <si>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</si>
  <si>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</si>
  <si>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</si>
  <si>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</si>
  <si>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</si>
  <si>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</si>
  <si>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</si>
  <si>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</si>
  <si>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954 01050201 10 0000 510</t>
  </si>
  <si>
    <t xml:space="preserve">     уменьшение остатков средств</t>
  </si>
  <si>
    <t>720</t>
  </si>
  <si>
    <t>000 01050201 00 0000 610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</si>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</sst>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right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left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tabSelected="1" zoomScalePageLayoutView="0" workbookViewId="0" topLeftCell="A1">
      <selection activeCell="O130" sqref="O13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3.851562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11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0" t="s">
        <v>5</v>
      </c>
      <c r="T3" s="10"/>
      <c r="U3" s="4">
        <v>42644</v>
      </c>
    </row>
    <row r="4" spans="1:21" s="1" customFormat="1" ht="13.5" customHeight="1">
      <c r="A4" s="8" t="s">
        <v>6</v>
      </c>
      <c r="B4" s="8"/>
      <c r="C4" s="8"/>
      <c r="D4" s="9" t="s">
        <v>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 t="s">
        <v>8</v>
      </c>
      <c r="S4" s="10"/>
      <c r="T4" s="10"/>
      <c r="U4" s="6" t="s">
        <v>10</v>
      </c>
    </row>
    <row r="5" spans="1:21" s="1" customFormat="1" ht="13.5" customHeigh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 t="s">
        <v>9</v>
      </c>
      <c r="S5" s="10"/>
      <c r="T5" s="10"/>
      <c r="U5" s="6" t="s">
        <v>11</v>
      </c>
    </row>
    <row r="6" spans="1:21" s="1" customFormat="1" ht="13.5" customHeight="1">
      <c r="A6" s="8" t="s">
        <v>12</v>
      </c>
      <c r="B6" s="8"/>
      <c r="C6" s="8"/>
      <c r="D6" s="8"/>
      <c r="E6" s="9" t="s">
        <v>13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 t="s">
        <v>14</v>
      </c>
      <c r="S6" s="10"/>
      <c r="T6" s="10"/>
      <c r="U6" s="6" t="s">
        <v>15</v>
      </c>
    </row>
    <row r="7" spans="1:21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 t="s">
        <v>18</v>
      </c>
    </row>
    <row r="8" spans="1:21" s="1" customFormat="1" ht="13.5" customHeight="1">
      <c r="A8" s="8" t="s">
        <v>19</v>
      </c>
      <c r="B8" s="8"/>
      <c r="C8" s="8" t="s">
        <v>20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0" t="s">
        <v>21</v>
      </c>
      <c r="R8" s="10"/>
      <c r="S8" s="10"/>
      <c r="T8" s="10"/>
      <c r="U8" s="7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 t="s">
        <v>25</v>
      </c>
      <c r="J10" s="13"/>
      <c r="K10" s="13" t="s">
        <v>26</v>
      </c>
      <c r="L10" s="13"/>
      <c r="M10" s="14" t="s">
        <v>27</v>
      </c>
      <c r="N10" s="14"/>
      <c r="O10" s="14"/>
      <c r="P10" s="14" t="s">
        <v>28</v>
      </c>
      <c r="Q10" s="14"/>
      <c r="R10" s="14"/>
      <c r="S10" s="14"/>
      <c r="T10" s="17" t="s">
        <v>29</v>
      </c>
      <c r="U10" s="17"/>
    </row>
    <row r="11" spans="1:21" s="1" customFormat="1" ht="12.75" customHeight="1">
      <c r="A11" s="18" t="s">
        <v>30</v>
      </c>
      <c r="B11" s="18"/>
      <c r="C11" s="18"/>
      <c r="D11" s="18"/>
      <c r="E11" s="18"/>
      <c r="F11" s="18"/>
      <c r="G11" s="18"/>
      <c r="H11" s="18"/>
      <c r="I11" s="18" t="s">
        <v>31</v>
      </c>
      <c r="J11" s="18"/>
      <c r="K11" s="18" t="s">
        <v>32</v>
      </c>
      <c r="L11" s="18"/>
      <c r="M11" s="19" t="s">
        <v>33</v>
      </c>
      <c r="N11" s="19"/>
      <c r="O11" s="19"/>
      <c r="P11" s="19" t="s">
        <v>34</v>
      </c>
      <c r="Q11" s="19"/>
      <c r="R11" s="19"/>
      <c r="S11" s="19"/>
      <c r="T11" s="20" t="s">
        <v>35</v>
      </c>
      <c r="U11" s="20"/>
    </row>
    <row r="12" spans="1:21" s="1" customFormat="1" ht="13.5" customHeight="1">
      <c r="A12" s="26" t="s">
        <v>36</v>
      </c>
      <c r="B12" s="26"/>
      <c r="C12" s="26"/>
      <c r="D12" s="26"/>
      <c r="E12" s="26"/>
      <c r="F12" s="26"/>
      <c r="G12" s="26"/>
      <c r="H12" s="26"/>
      <c r="I12" s="15" t="s">
        <v>37</v>
      </c>
      <c r="J12" s="15"/>
      <c r="K12" s="15" t="s">
        <v>38</v>
      </c>
      <c r="L12" s="15"/>
      <c r="M12" s="16">
        <f>129729336</f>
        <v>129729336</v>
      </c>
      <c r="N12" s="16"/>
      <c r="O12" s="16"/>
      <c r="P12" s="16">
        <f>96631290.32</f>
        <v>96631290.32</v>
      </c>
      <c r="Q12" s="16"/>
      <c r="R12" s="16"/>
      <c r="S12" s="16"/>
      <c r="T12" s="21">
        <f>33098045.68</f>
        <v>33098045.68</v>
      </c>
      <c r="U12" s="21"/>
    </row>
    <row r="13" spans="1:21" s="1" customFormat="1" ht="45" customHeight="1">
      <c r="A13" s="22" t="s">
        <v>39</v>
      </c>
      <c r="B13" s="22"/>
      <c r="C13" s="22"/>
      <c r="D13" s="22"/>
      <c r="E13" s="22"/>
      <c r="F13" s="22"/>
      <c r="G13" s="22"/>
      <c r="H13" s="22"/>
      <c r="I13" s="23" t="s">
        <v>37</v>
      </c>
      <c r="J13" s="23"/>
      <c r="K13" s="23" t="s">
        <v>40</v>
      </c>
      <c r="L13" s="23"/>
      <c r="M13" s="24">
        <f>1666000</f>
        <v>1666000</v>
      </c>
      <c r="N13" s="24"/>
      <c r="O13" s="24"/>
      <c r="P13" s="24">
        <f>1401952.14</f>
        <v>1401952.14</v>
      </c>
      <c r="Q13" s="24"/>
      <c r="R13" s="24"/>
      <c r="S13" s="24"/>
      <c r="T13" s="25">
        <f>264047.86</f>
        <v>264047.86</v>
      </c>
      <c r="U13" s="25"/>
    </row>
    <row r="14" spans="1:21" s="1" customFormat="1" ht="54.75" customHeight="1">
      <c r="A14" s="22" t="s">
        <v>41</v>
      </c>
      <c r="B14" s="22"/>
      <c r="C14" s="22"/>
      <c r="D14" s="22"/>
      <c r="E14" s="22"/>
      <c r="F14" s="22"/>
      <c r="G14" s="22"/>
      <c r="H14" s="22"/>
      <c r="I14" s="23" t="s">
        <v>37</v>
      </c>
      <c r="J14" s="23"/>
      <c r="K14" s="23" t="s">
        <v>42</v>
      </c>
      <c r="L14" s="23"/>
      <c r="M14" s="24">
        <f>35000</f>
        <v>35000</v>
      </c>
      <c r="N14" s="24"/>
      <c r="O14" s="24"/>
      <c r="P14" s="24">
        <f>22344.43</f>
        <v>22344.43</v>
      </c>
      <c r="Q14" s="24"/>
      <c r="R14" s="24"/>
      <c r="S14" s="24"/>
      <c r="T14" s="25">
        <f>12655.57</f>
        <v>12655.57</v>
      </c>
      <c r="U14" s="25"/>
    </row>
    <row r="15" spans="1:21" s="1" customFormat="1" ht="45" customHeight="1">
      <c r="A15" s="22" t="s">
        <v>43</v>
      </c>
      <c r="B15" s="22"/>
      <c r="C15" s="22"/>
      <c r="D15" s="22"/>
      <c r="E15" s="22"/>
      <c r="F15" s="22"/>
      <c r="G15" s="22"/>
      <c r="H15" s="22"/>
      <c r="I15" s="23" t="s">
        <v>37</v>
      </c>
      <c r="J15" s="23"/>
      <c r="K15" s="23" t="s">
        <v>44</v>
      </c>
      <c r="L15" s="23"/>
      <c r="M15" s="24">
        <f>3043000</f>
        <v>3043000</v>
      </c>
      <c r="N15" s="24"/>
      <c r="O15" s="24"/>
      <c r="P15" s="24">
        <f>2940422.94</f>
        <v>2940422.94</v>
      </c>
      <c r="Q15" s="24"/>
      <c r="R15" s="24"/>
      <c r="S15" s="24"/>
      <c r="T15" s="25">
        <f>102577.06</f>
        <v>102577.06</v>
      </c>
      <c r="U15" s="25"/>
    </row>
    <row r="16" spans="1:21" s="1" customFormat="1" ht="45" customHeight="1">
      <c r="A16" s="22" t="s">
        <v>45</v>
      </c>
      <c r="B16" s="22"/>
      <c r="C16" s="22"/>
      <c r="D16" s="22"/>
      <c r="E16" s="22"/>
      <c r="F16" s="22"/>
      <c r="G16" s="22"/>
      <c r="H16" s="22"/>
      <c r="I16" s="23" t="s">
        <v>37</v>
      </c>
      <c r="J16" s="23"/>
      <c r="K16" s="23" t="s">
        <v>46</v>
      </c>
      <c r="L16" s="23"/>
      <c r="M16" s="24">
        <f>0</f>
        <v>0</v>
      </c>
      <c r="N16" s="24"/>
      <c r="O16" s="24"/>
      <c r="P16" s="24">
        <f>-193587.06</f>
        <v>-193587.06</v>
      </c>
      <c r="Q16" s="24"/>
      <c r="R16" s="24"/>
      <c r="S16" s="24"/>
      <c r="T16" s="25">
        <f>0</f>
        <v>0</v>
      </c>
      <c r="U16" s="25"/>
    </row>
    <row r="17" spans="1:21" s="1" customFormat="1" ht="45" customHeight="1">
      <c r="A17" s="22" t="s">
        <v>47</v>
      </c>
      <c r="B17" s="22"/>
      <c r="C17" s="22"/>
      <c r="D17" s="22"/>
      <c r="E17" s="22"/>
      <c r="F17" s="22"/>
      <c r="G17" s="22"/>
      <c r="H17" s="22"/>
      <c r="I17" s="23" t="s">
        <v>37</v>
      </c>
      <c r="J17" s="23"/>
      <c r="K17" s="23" t="s">
        <v>48</v>
      </c>
      <c r="L17" s="23"/>
      <c r="M17" s="24">
        <f>12934000</f>
        <v>12934000</v>
      </c>
      <c r="N17" s="24"/>
      <c r="O17" s="24"/>
      <c r="P17" s="24">
        <f>9321015.84</f>
        <v>9321015.84</v>
      </c>
      <c r="Q17" s="24"/>
      <c r="R17" s="24"/>
      <c r="S17" s="24"/>
      <c r="T17" s="25">
        <f>3612984.16</f>
        <v>3612984.16</v>
      </c>
      <c r="U17" s="25"/>
    </row>
    <row r="18" spans="1:21" s="1" customFormat="1" ht="66" customHeight="1">
      <c r="A18" s="22" t="s">
        <v>49</v>
      </c>
      <c r="B18" s="22"/>
      <c r="C18" s="22"/>
      <c r="D18" s="22"/>
      <c r="E18" s="22"/>
      <c r="F18" s="22"/>
      <c r="G18" s="22"/>
      <c r="H18" s="22"/>
      <c r="I18" s="23" t="s">
        <v>37</v>
      </c>
      <c r="J18" s="23"/>
      <c r="K18" s="23" t="s">
        <v>50</v>
      </c>
      <c r="L18" s="23"/>
      <c r="M18" s="27" t="s">
        <v>51</v>
      </c>
      <c r="N18" s="27"/>
      <c r="O18" s="27"/>
      <c r="P18" s="24">
        <f>3465</f>
        <v>3465</v>
      </c>
      <c r="Q18" s="24"/>
      <c r="R18" s="24"/>
      <c r="S18" s="24"/>
      <c r="T18" s="25">
        <f>0</f>
        <v>0</v>
      </c>
      <c r="U18" s="25"/>
    </row>
    <row r="19" spans="1:21" s="1" customFormat="1" ht="24" customHeight="1">
      <c r="A19" s="22" t="s">
        <v>52</v>
      </c>
      <c r="B19" s="22"/>
      <c r="C19" s="22"/>
      <c r="D19" s="22"/>
      <c r="E19" s="22"/>
      <c r="F19" s="22"/>
      <c r="G19" s="22"/>
      <c r="H19" s="22"/>
      <c r="I19" s="23" t="s">
        <v>37</v>
      </c>
      <c r="J19" s="23"/>
      <c r="K19" s="23" t="s">
        <v>53</v>
      </c>
      <c r="L19" s="23"/>
      <c r="M19" s="24">
        <f>960000</f>
        <v>960000</v>
      </c>
      <c r="N19" s="24"/>
      <c r="O19" s="24"/>
      <c r="P19" s="24">
        <f>702285.5</f>
        <v>702285.5</v>
      </c>
      <c r="Q19" s="24"/>
      <c r="R19" s="24"/>
      <c r="S19" s="24"/>
      <c r="T19" s="25">
        <f>257714.5</f>
        <v>257714.5</v>
      </c>
      <c r="U19" s="25"/>
    </row>
    <row r="20" spans="1:21" s="1" customFormat="1" ht="13.5" customHeight="1">
      <c r="A20" s="22" t="s">
        <v>54</v>
      </c>
      <c r="B20" s="22"/>
      <c r="C20" s="22"/>
      <c r="D20" s="22"/>
      <c r="E20" s="22"/>
      <c r="F20" s="22"/>
      <c r="G20" s="22"/>
      <c r="H20" s="22"/>
      <c r="I20" s="23" t="s">
        <v>37</v>
      </c>
      <c r="J20" s="23"/>
      <c r="K20" s="23" t="s">
        <v>55</v>
      </c>
      <c r="L20" s="23"/>
      <c r="M20" s="24">
        <f>27000</f>
        <v>27000</v>
      </c>
      <c r="N20" s="24"/>
      <c r="O20" s="24"/>
      <c r="P20" s="24">
        <f>6573.3</f>
        <v>6573.3</v>
      </c>
      <c r="Q20" s="24"/>
      <c r="R20" s="24"/>
      <c r="S20" s="24"/>
      <c r="T20" s="25">
        <f>20426.7</f>
        <v>20426.7</v>
      </c>
      <c r="U20" s="25"/>
    </row>
    <row r="21" spans="1:21" s="1" customFormat="1" ht="24" customHeight="1">
      <c r="A21" s="22" t="s">
        <v>56</v>
      </c>
      <c r="B21" s="22"/>
      <c r="C21" s="22"/>
      <c r="D21" s="22"/>
      <c r="E21" s="22"/>
      <c r="F21" s="22"/>
      <c r="G21" s="22"/>
      <c r="H21" s="22"/>
      <c r="I21" s="23" t="s">
        <v>37</v>
      </c>
      <c r="J21" s="23"/>
      <c r="K21" s="23" t="s">
        <v>57</v>
      </c>
      <c r="L21" s="23"/>
      <c r="M21" s="24">
        <f>236000</f>
        <v>236000</v>
      </c>
      <c r="N21" s="24"/>
      <c r="O21" s="24"/>
      <c r="P21" s="24">
        <f>20727.94</f>
        <v>20727.94</v>
      </c>
      <c r="Q21" s="24"/>
      <c r="R21" s="24"/>
      <c r="S21" s="24"/>
      <c r="T21" s="25">
        <f>215272.06</f>
        <v>215272.06</v>
      </c>
      <c r="U21" s="25"/>
    </row>
    <row r="22" spans="1:21" s="1" customFormat="1" ht="24" customHeight="1">
      <c r="A22" s="22" t="s">
        <v>58</v>
      </c>
      <c r="B22" s="22"/>
      <c r="C22" s="22"/>
      <c r="D22" s="22"/>
      <c r="E22" s="22"/>
      <c r="F22" s="22"/>
      <c r="G22" s="22"/>
      <c r="H22" s="22"/>
      <c r="I22" s="23" t="s">
        <v>37</v>
      </c>
      <c r="J22" s="23"/>
      <c r="K22" s="23" t="s">
        <v>59</v>
      </c>
      <c r="L22" s="23"/>
      <c r="M22" s="24">
        <f>22000</f>
        <v>22000</v>
      </c>
      <c r="N22" s="24"/>
      <c r="O22" s="24"/>
      <c r="P22" s="24">
        <f>8038.49</f>
        <v>8038.49</v>
      </c>
      <c r="Q22" s="24"/>
      <c r="R22" s="24"/>
      <c r="S22" s="24"/>
      <c r="T22" s="25">
        <f>13961.51</f>
        <v>13961.51</v>
      </c>
      <c r="U22" s="25"/>
    </row>
    <row r="23" spans="1:21" s="1" customFormat="1" ht="24" customHeight="1">
      <c r="A23" s="22" t="s">
        <v>60</v>
      </c>
      <c r="B23" s="22"/>
      <c r="C23" s="22"/>
      <c r="D23" s="22"/>
      <c r="E23" s="22"/>
      <c r="F23" s="22"/>
      <c r="G23" s="22"/>
      <c r="H23" s="22"/>
      <c r="I23" s="23" t="s">
        <v>37</v>
      </c>
      <c r="J23" s="23"/>
      <c r="K23" s="23" t="s">
        <v>61</v>
      </c>
      <c r="L23" s="23"/>
      <c r="M23" s="24">
        <f>78000</f>
        <v>78000</v>
      </c>
      <c r="N23" s="24"/>
      <c r="O23" s="24"/>
      <c r="P23" s="24">
        <f>17.03</f>
        <v>17.03</v>
      </c>
      <c r="Q23" s="24"/>
      <c r="R23" s="24"/>
      <c r="S23" s="24"/>
      <c r="T23" s="25">
        <f>77982.97</f>
        <v>77982.97</v>
      </c>
      <c r="U23" s="25"/>
    </row>
    <row r="24" spans="1:21" s="1" customFormat="1" ht="45" customHeight="1">
      <c r="A24" s="22" t="s">
        <v>62</v>
      </c>
      <c r="B24" s="22"/>
      <c r="C24" s="22"/>
      <c r="D24" s="22"/>
      <c r="E24" s="22"/>
      <c r="F24" s="22"/>
      <c r="G24" s="22"/>
      <c r="H24" s="22"/>
      <c r="I24" s="23" t="s">
        <v>37</v>
      </c>
      <c r="J24" s="23"/>
      <c r="K24" s="23" t="s">
        <v>63</v>
      </c>
      <c r="L24" s="23"/>
      <c r="M24" s="24">
        <f>62000</f>
        <v>62000</v>
      </c>
      <c r="N24" s="24"/>
      <c r="O24" s="24"/>
      <c r="P24" s="24">
        <f>46640</f>
        <v>46640</v>
      </c>
      <c r="Q24" s="24"/>
      <c r="R24" s="24"/>
      <c r="S24" s="24"/>
      <c r="T24" s="25">
        <f>15360</f>
        <v>15360</v>
      </c>
      <c r="U24" s="25"/>
    </row>
    <row r="25" spans="1:21" s="1" customFormat="1" ht="45" customHeight="1">
      <c r="A25" s="22" t="s">
        <v>64</v>
      </c>
      <c r="B25" s="22"/>
      <c r="C25" s="22"/>
      <c r="D25" s="22"/>
      <c r="E25" s="22"/>
      <c r="F25" s="22"/>
      <c r="G25" s="22"/>
      <c r="H25" s="22"/>
      <c r="I25" s="23" t="s">
        <v>37</v>
      </c>
      <c r="J25" s="23"/>
      <c r="K25" s="23" t="s">
        <v>65</v>
      </c>
      <c r="L25" s="23"/>
      <c r="M25" s="24">
        <f>1949000</f>
        <v>1949000</v>
      </c>
      <c r="N25" s="24"/>
      <c r="O25" s="24"/>
      <c r="P25" s="24">
        <f>1519229.13</f>
        <v>1519229.13</v>
      </c>
      <c r="Q25" s="24"/>
      <c r="R25" s="24"/>
      <c r="S25" s="24"/>
      <c r="T25" s="25">
        <f>429770.87</f>
        <v>429770.87</v>
      </c>
      <c r="U25" s="25"/>
    </row>
    <row r="26" spans="1:21" s="1" customFormat="1" ht="13.5" customHeight="1">
      <c r="A26" s="22" t="s">
        <v>66</v>
      </c>
      <c r="B26" s="22"/>
      <c r="C26" s="22"/>
      <c r="D26" s="22"/>
      <c r="E26" s="22"/>
      <c r="F26" s="22"/>
      <c r="G26" s="22"/>
      <c r="H26" s="22"/>
      <c r="I26" s="23" t="s">
        <v>37</v>
      </c>
      <c r="J26" s="23"/>
      <c r="K26" s="23" t="s">
        <v>67</v>
      </c>
      <c r="L26" s="23"/>
      <c r="M26" s="24">
        <f>232000</f>
        <v>232000</v>
      </c>
      <c r="N26" s="24"/>
      <c r="O26" s="24"/>
      <c r="P26" s="24">
        <f>232059.79</f>
        <v>232059.79</v>
      </c>
      <c r="Q26" s="24"/>
      <c r="R26" s="24"/>
      <c r="S26" s="24"/>
      <c r="T26" s="25">
        <f>-59.79</f>
        <v>-59.79</v>
      </c>
      <c r="U26" s="25"/>
    </row>
    <row r="27" spans="1:21" s="1" customFormat="1" ht="54.75" customHeight="1">
      <c r="A27" s="22" t="s">
        <v>68</v>
      </c>
      <c r="B27" s="22"/>
      <c r="C27" s="22"/>
      <c r="D27" s="22"/>
      <c r="E27" s="22"/>
      <c r="F27" s="22"/>
      <c r="G27" s="22"/>
      <c r="H27" s="22"/>
      <c r="I27" s="23" t="s">
        <v>37</v>
      </c>
      <c r="J27" s="23"/>
      <c r="K27" s="23" t="s">
        <v>69</v>
      </c>
      <c r="L27" s="23"/>
      <c r="M27" s="24">
        <f>809000</f>
        <v>809000</v>
      </c>
      <c r="N27" s="24"/>
      <c r="O27" s="24"/>
      <c r="P27" s="24">
        <f>808500</f>
        <v>808500</v>
      </c>
      <c r="Q27" s="24"/>
      <c r="R27" s="24"/>
      <c r="S27" s="24"/>
      <c r="T27" s="25">
        <f>500</f>
        <v>500</v>
      </c>
      <c r="U27" s="25"/>
    </row>
    <row r="28" spans="1:21" s="1" customFormat="1" ht="24" customHeight="1">
      <c r="A28" s="22" t="s">
        <v>70</v>
      </c>
      <c r="B28" s="22"/>
      <c r="C28" s="22"/>
      <c r="D28" s="22"/>
      <c r="E28" s="22"/>
      <c r="F28" s="22"/>
      <c r="G28" s="22"/>
      <c r="H28" s="22"/>
      <c r="I28" s="23" t="s">
        <v>37</v>
      </c>
      <c r="J28" s="23"/>
      <c r="K28" s="23" t="s">
        <v>71</v>
      </c>
      <c r="L28" s="23"/>
      <c r="M28" s="24">
        <f>91000</f>
        <v>91000</v>
      </c>
      <c r="N28" s="24"/>
      <c r="O28" s="24"/>
      <c r="P28" s="24">
        <f>147469.78</f>
        <v>147469.78</v>
      </c>
      <c r="Q28" s="24"/>
      <c r="R28" s="24"/>
      <c r="S28" s="24"/>
      <c r="T28" s="25">
        <f>-56469.78</f>
        <v>-56469.78</v>
      </c>
      <c r="U28" s="25"/>
    </row>
    <row r="29" spans="1:21" s="1" customFormat="1" ht="13.5" customHeight="1">
      <c r="A29" s="22" t="s">
        <v>72</v>
      </c>
      <c r="B29" s="22"/>
      <c r="C29" s="22"/>
      <c r="D29" s="22"/>
      <c r="E29" s="22"/>
      <c r="F29" s="22"/>
      <c r="G29" s="22"/>
      <c r="H29" s="22"/>
      <c r="I29" s="23" t="s">
        <v>37</v>
      </c>
      <c r="J29" s="23"/>
      <c r="K29" s="23" t="s">
        <v>73</v>
      </c>
      <c r="L29" s="23"/>
      <c r="M29" s="24">
        <f>0</f>
        <v>0</v>
      </c>
      <c r="N29" s="24"/>
      <c r="O29" s="24"/>
      <c r="P29" s="24">
        <f>0</f>
        <v>0</v>
      </c>
      <c r="Q29" s="24"/>
      <c r="R29" s="24"/>
      <c r="S29" s="24"/>
      <c r="T29" s="25">
        <f>0</f>
        <v>0</v>
      </c>
      <c r="U29" s="25"/>
    </row>
    <row r="30" spans="1:21" s="1" customFormat="1" ht="24" customHeight="1">
      <c r="A30" s="22" t="s">
        <v>74</v>
      </c>
      <c r="B30" s="22"/>
      <c r="C30" s="22"/>
      <c r="D30" s="22"/>
      <c r="E30" s="22"/>
      <c r="F30" s="22"/>
      <c r="G30" s="22"/>
      <c r="H30" s="22"/>
      <c r="I30" s="23" t="s">
        <v>37</v>
      </c>
      <c r="J30" s="23"/>
      <c r="K30" s="23" t="s">
        <v>75</v>
      </c>
      <c r="L30" s="23"/>
      <c r="M30" s="24">
        <f>78653000</f>
        <v>78653000</v>
      </c>
      <c r="N30" s="24"/>
      <c r="O30" s="24"/>
      <c r="P30" s="24">
        <f>60816800</f>
        <v>60816800</v>
      </c>
      <c r="Q30" s="24"/>
      <c r="R30" s="24"/>
      <c r="S30" s="24"/>
      <c r="T30" s="25">
        <f>17836200</f>
        <v>17836200</v>
      </c>
      <c r="U30" s="25"/>
    </row>
    <row r="31" spans="1:21" s="1" customFormat="1" ht="24" customHeight="1">
      <c r="A31" s="22" t="s">
        <v>76</v>
      </c>
      <c r="B31" s="22"/>
      <c r="C31" s="22"/>
      <c r="D31" s="22"/>
      <c r="E31" s="22"/>
      <c r="F31" s="22"/>
      <c r="G31" s="22"/>
      <c r="H31" s="22"/>
      <c r="I31" s="23" t="s">
        <v>37</v>
      </c>
      <c r="J31" s="23"/>
      <c r="K31" s="23" t="s">
        <v>77</v>
      </c>
      <c r="L31" s="23"/>
      <c r="M31" s="24">
        <f>482000</f>
        <v>482000</v>
      </c>
      <c r="N31" s="24"/>
      <c r="O31" s="24"/>
      <c r="P31" s="24">
        <f>313600</f>
        <v>313600</v>
      </c>
      <c r="Q31" s="24"/>
      <c r="R31" s="24"/>
      <c r="S31" s="24"/>
      <c r="T31" s="25">
        <f>168400</f>
        <v>168400</v>
      </c>
      <c r="U31" s="25"/>
    </row>
    <row r="32" spans="1:21" s="1" customFormat="1" ht="24" customHeight="1">
      <c r="A32" s="22" t="s">
        <v>78</v>
      </c>
      <c r="B32" s="22"/>
      <c r="C32" s="22"/>
      <c r="D32" s="22"/>
      <c r="E32" s="22"/>
      <c r="F32" s="22"/>
      <c r="G32" s="22"/>
      <c r="H32" s="22"/>
      <c r="I32" s="23" t="s">
        <v>37</v>
      </c>
      <c r="J32" s="23"/>
      <c r="K32" s="23" t="s">
        <v>79</v>
      </c>
      <c r="L32" s="23"/>
      <c r="M32" s="24">
        <f>4000</f>
        <v>4000</v>
      </c>
      <c r="N32" s="24"/>
      <c r="O32" s="24"/>
      <c r="P32" s="24">
        <f>4000</f>
        <v>4000</v>
      </c>
      <c r="Q32" s="24"/>
      <c r="R32" s="24"/>
      <c r="S32" s="24"/>
      <c r="T32" s="25">
        <f>0</f>
        <v>0</v>
      </c>
      <c r="U32" s="25"/>
    </row>
    <row r="33" spans="1:21" s="1" customFormat="1" ht="33.75" customHeight="1">
      <c r="A33" s="22" t="s">
        <v>80</v>
      </c>
      <c r="B33" s="22"/>
      <c r="C33" s="22"/>
      <c r="D33" s="22"/>
      <c r="E33" s="22"/>
      <c r="F33" s="22"/>
      <c r="G33" s="22"/>
      <c r="H33" s="22"/>
      <c r="I33" s="23" t="s">
        <v>37</v>
      </c>
      <c r="J33" s="23"/>
      <c r="K33" s="23" t="s">
        <v>81</v>
      </c>
      <c r="L33" s="23"/>
      <c r="M33" s="24">
        <f>0</f>
        <v>0</v>
      </c>
      <c r="N33" s="24"/>
      <c r="O33" s="24"/>
      <c r="P33" s="27" t="s">
        <v>51</v>
      </c>
      <c r="Q33" s="27"/>
      <c r="R33" s="27"/>
      <c r="S33" s="27"/>
      <c r="T33" s="25">
        <f>0</f>
        <v>0</v>
      </c>
      <c r="U33" s="25"/>
    </row>
    <row r="34" spans="1:21" s="1" customFormat="1" ht="33.75" customHeight="1">
      <c r="A34" s="22" t="s">
        <v>82</v>
      </c>
      <c r="B34" s="22"/>
      <c r="C34" s="22"/>
      <c r="D34" s="22"/>
      <c r="E34" s="22"/>
      <c r="F34" s="22"/>
      <c r="G34" s="22"/>
      <c r="H34" s="22"/>
      <c r="I34" s="23" t="s">
        <v>37</v>
      </c>
      <c r="J34" s="23"/>
      <c r="K34" s="23" t="s">
        <v>83</v>
      </c>
      <c r="L34" s="23"/>
      <c r="M34" s="24">
        <f>100000</f>
        <v>100000</v>
      </c>
      <c r="N34" s="24"/>
      <c r="O34" s="24"/>
      <c r="P34" s="24">
        <f>100000</f>
        <v>100000</v>
      </c>
      <c r="Q34" s="24"/>
      <c r="R34" s="24"/>
      <c r="S34" s="24"/>
      <c r="T34" s="25">
        <f>0</f>
        <v>0</v>
      </c>
      <c r="U34" s="25"/>
    </row>
    <row r="35" spans="1:21" s="1" customFormat="1" ht="24" customHeight="1">
      <c r="A35" s="22" t="s">
        <v>84</v>
      </c>
      <c r="B35" s="22"/>
      <c r="C35" s="22"/>
      <c r="D35" s="22"/>
      <c r="E35" s="22"/>
      <c r="F35" s="22"/>
      <c r="G35" s="22"/>
      <c r="H35" s="22"/>
      <c r="I35" s="23" t="s">
        <v>37</v>
      </c>
      <c r="J35" s="23"/>
      <c r="K35" s="23" t="s">
        <v>85</v>
      </c>
      <c r="L35" s="23"/>
      <c r="M35" s="24">
        <f>27936336</f>
        <v>27936336</v>
      </c>
      <c r="N35" s="24"/>
      <c r="O35" s="24"/>
      <c r="P35" s="24">
        <f>18786093.56</f>
        <v>18786093.56</v>
      </c>
      <c r="Q35" s="24"/>
      <c r="R35" s="24"/>
      <c r="S35" s="24"/>
      <c r="T35" s="25">
        <f>9150242.44</f>
        <v>9150242.44</v>
      </c>
      <c r="U35" s="25"/>
    </row>
    <row r="36" spans="1:21" s="1" customFormat="1" ht="13.5" customHeight="1">
      <c r="A36" s="22" t="s">
        <v>86</v>
      </c>
      <c r="B36" s="22"/>
      <c r="C36" s="22"/>
      <c r="D36" s="22"/>
      <c r="E36" s="22"/>
      <c r="F36" s="22"/>
      <c r="G36" s="22"/>
      <c r="H36" s="22"/>
      <c r="I36" s="23" t="s">
        <v>37</v>
      </c>
      <c r="J36" s="23"/>
      <c r="K36" s="23" t="s">
        <v>87</v>
      </c>
      <c r="L36" s="23"/>
      <c r="M36" s="24">
        <f>410000</f>
        <v>410000</v>
      </c>
      <c r="N36" s="24"/>
      <c r="O36" s="24"/>
      <c r="P36" s="24">
        <f>410000</f>
        <v>410000</v>
      </c>
      <c r="Q36" s="24"/>
      <c r="R36" s="24"/>
      <c r="S36" s="24"/>
      <c r="T36" s="25">
        <f>0</f>
        <v>0</v>
      </c>
      <c r="U36" s="25"/>
    </row>
    <row r="37" spans="1:21" s="1" customFormat="1" ht="24" customHeight="1">
      <c r="A37" s="22" t="s">
        <v>88</v>
      </c>
      <c r="B37" s="22"/>
      <c r="C37" s="22"/>
      <c r="D37" s="22"/>
      <c r="E37" s="22"/>
      <c r="F37" s="22"/>
      <c r="G37" s="22"/>
      <c r="H37" s="22"/>
      <c r="I37" s="23" t="s">
        <v>37</v>
      </c>
      <c r="J37" s="23"/>
      <c r="K37" s="23" t="s">
        <v>89</v>
      </c>
      <c r="L37" s="23"/>
      <c r="M37" s="24">
        <f>0</f>
        <v>0</v>
      </c>
      <c r="N37" s="24"/>
      <c r="O37" s="24"/>
      <c r="P37" s="24">
        <f>-786357.49</f>
        <v>-786357.49</v>
      </c>
      <c r="Q37" s="24"/>
      <c r="R37" s="24"/>
      <c r="S37" s="24"/>
      <c r="T37" s="25">
        <f>0</f>
        <v>0</v>
      </c>
      <c r="U37" s="25"/>
    </row>
    <row r="38" spans="1:21" s="1" customFormat="1" ht="54.75" customHeight="1">
      <c r="A38" s="22" t="s">
        <v>90</v>
      </c>
      <c r="B38" s="22"/>
      <c r="C38" s="22"/>
      <c r="D38" s="22"/>
      <c r="E38" s="22"/>
      <c r="F38" s="22"/>
      <c r="G38" s="22"/>
      <c r="H38" s="22"/>
      <c r="I38" s="23" t="s">
        <v>37</v>
      </c>
      <c r="J38" s="23"/>
      <c r="K38" s="23" t="s">
        <v>91</v>
      </c>
      <c r="L38" s="23"/>
      <c r="M38" s="27" t="s">
        <v>51</v>
      </c>
      <c r="N38" s="27"/>
      <c r="O38" s="27"/>
      <c r="P38" s="24">
        <f>0</f>
        <v>0</v>
      </c>
      <c r="Q38" s="24"/>
      <c r="R38" s="24"/>
      <c r="S38" s="24"/>
      <c r="T38" s="25">
        <f>0</f>
        <v>0</v>
      </c>
      <c r="U38" s="25"/>
    </row>
    <row r="39" spans="1:21" s="1" customFormat="1" ht="13.5" customHeight="1">
      <c r="A39" s="28" t="s">
        <v>18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s="1" customFormat="1" ht="13.5" customHeight="1">
      <c r="A40" s="12" t="s">
        <v>92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" customFormat="1" ht="34.5" customHeight="1">
      <c r="A41" s="13" t="s">
        <v>24</v>
      </c>
      <c r="B41" s="13"/>
      <c r="C41" s="13"/>
      <c r="D41" s="13"/>
      <c r="E41" s="13"/>
      <c r="F41" s="13"/>
      <c r="G41" s="13"/>
      <c r="H41" s="13"/>
      <c r="I41" s="13" t="s">
        <v>25</v>
      </c>
      <c r="J41" s="13"/>
      <c r="K41" s="13" t="s">
        <v>93</v>
      </c>
      <c r="L41" s="13"/>
      <c r="M41" s="14" t="s">
        <v>27</v>
      </c>
      <c r="N41" s="14"/>
      <c r="O41" s="14"/>
      <c r="P41" s="14" t="s">
        <v>28</v>
      </c>
      <c r="Q41" s="14"/>
      <c r="R41" s="14"/>
      <c r="S41" s="14"/>
      <c r="T41" s="17" t="s">
        <v>29</v>
      </c>
      <c r="U41" s="17"/>
    </row>
    <row r="42" spans="1:21" s="1" customFormat="1" ht="13.5" customHeight="1">
      <c r="A42" s="18" t="s">
        <v>30</v>
      </c>
      <c r="B42" s="18"/>
      <c r="C42" s="18"/>
      <c r="D42" s="18"/>
      <c r="E42" s="18"/>
      <c r="F42" s="18"/>
      <c r="G42" s="18"/>
      <c r="H42" s="18"/>
      <c r="I42" s="18" t="s">
        <v>31</v>
      </c>
      <c r="J42" s="18"/>
      <c r="K42" s="18" t="s">
        <v>32</v>
      </c>
      <c r="L42" s="18"/>
      <c r="M42" s="19" t="s">
        <v>33</v>
      </c>
      <c r="N42" s="19"/>
      <c r="O42" s="19"/>
      <c r="P42" s="19" t="s">
        <v>34</v>
      </c>
      <c r="Q42" s="19"/>
      <c r="R42" s="19"/>
      <c r="S42" s="19"/>
      <c r="T42" s="20" t="s">
        <v>35</v>
      </c>
      <c r="U42" s="20"/>
    </row>
    <row r="43" spans="1:21" s="1" customFormat="1" ht="13.5" customHeight="1">
      <c r="A43" s="26" t="s">
        <v>94</v>
      </c>
      <c r="B43" s="26"/>
      <c r="C43" s="26"/>
      <c r="D43" s="26"/>
      <c r="E43" s="26"/>
      <c r="F43" s="26"/>
      <c r="G43" s="26"/>
      <c r="H43" s="26"/>
      <c r="I43" s="15" t="s">
        <v>95</v>
      </c>
      <c r="J43" s="15"/>
      <c r="K43" s="15" t="s">
        <v>38</v>
      </c>
      <c r="L43" s="15"/>
      <c r="M43" s="16">
        <f>136515811.88</f>
        <v>136515811.88</v>
      </c>
      <c r="N43" s="16"/>
      <c r="O43" s="16"/>
      <c r="P43" s="16">
        <f>92408539.8</f>
        <v>92408539.8</v>
      </c>
      <c r="Q43" s="16"/>
      <c r="R43" s="16"/>
      <c r="S43" s="16"/>
      <c r="T43" s="21">
        <f>44107272.08</f>
        <v>44107272.08</v>
      </c>
      <c r="U43" s="21"/>
    </row>
    <row r="44" spans="1:21" s="1" customFormat="1" ht="24" customHeight="1">
      <c r="A44" s="31" t="s">
        <v>96</v>
      </c>
      <c r="B44" s="31"/>
      <c r="C44" s="31"/>
      <c r="D44" s="31"/>
      <c r="E44" s="31"/>
      <c r="F44" s="31"/>
      <c r="G44" s="31"/>
      <c r="H44" s="31"/>
      <c r="I44" s="29" t="s">
        <v>95</v>
      </c>
      <c r="J44" s="29"/>
      <c r="K44" s="29" t="s">
        <v>97</v>
      </c>
      <c r="L44" s="29"/>
      <c r="M44" s="30">
        <f>16000</f>
        <v>16000</v>
      </c>
      <c r="N44" s="30"/>
      <c r="O44" s="30"/>
      <c r="P44" s="32" t="s">
        <v>51</v>
      </c>
      <c r="Q44" s="32"/>
      <c r="R44" s="32"/>
      <c r="S44" s="32"/>
      <c r="T44" s="33">
        <f>16000</f>
        <v>16000</v>
      </c>
      <c r="U44" s="33"/>
    </row>
    <row r="45" spans="1:21" s="1" customFormat="1" ht="13.5" customHeight="1">
      <c r="A45" s="31" t="s">
        <v>98</v>
      </c>
      <c r="B45" s="31"/>
      <c r="C45" s="31"/>
      <c r="D45" s="31"/>
      <c r="E45" s="31"/>
      <c r="F45" s="31"/>
      <c r="G45" s="31"/>
      <c r="H45" s="31"/>
      <c r="I45" s="29" t="s">
        <v>95</v>
      </c>
      <c r="J45" s="29"/>
      <c r="K45" s="29" t="s">
        <v>99</v>
      </c>
      <c r="L45" s="29"/>
      <c r="M45" s="30">
        <f>0</f>
        <v>0</v>
      </c>
      <c r="N45" s="30"/>
      <c r="O45" s="30"/>
      <c r="P45" s="32" t="s">
        <v>51</v>
      </c>
      <c r="Q45" s="32"/>
      <c r="R45" s="32"/>
      <c r="S45" s="32"/>
      <c r="T45" s="33">
        <f>0</f>
        <v>0</v>
      </c>
      <c r="U45" s="33"/>
    </row>
    <row r="46" spans="1:21" s="1" customFormat="1" ht="13.5" customHeight="1">
      <c r="A46" s="31" t="s">
        <v>100</v>
      </c>
      <c r="B46" s="31"/>
      <c r="C46" s="31"/>
      <c r="D46" s="31"/>
      <c r="E46" s="31"/>
      <c r="F46" s="31"/>
      <c r="G46" s="31"/>
      <c r="H46" s="31"/>
      <c r="I46" s="29" t="s">
        <v>95</v>
      </c>
      <c r="J46" s="29"/>
      <c r="K46" s="29" t="s">
        <v>101</v>
      </c>
      <c r="L46" s="29"/>
      <c r="M46" s="30">
        <f>69000</f>
        <v>69000</v>
      </c>
      <c r="N46" s="30"/>
      <c r="O46" s="30"/>
      <c r="P46" s="30">
        <f>69000</f>
        <v>69000</v>
      </c>
      <c r="Q46" s="30"/>
      <c r="R46" s="30"/>
      <c r="S46" s="30"/>
      <c r="T46" s="33">
        <f>0</f>
        <v>0</v>
      </c>
      <c r="U46" s="33"/>
    </row>
    <row r="47" spans="1:21" s="1" customFormat="1" ht="13.5" customHeight="1">
      <c r="A47" s="31" t="s">
        <v>102</v>
      </c>
      <c r="B47" s="31"/>
      <c r="C47" s="31"/>
      <c r="D47" s="31"/>
      <c r="E47" s="31"/>
      <c r="F47" s="31"/>
      <c r="G47" s="31"/>
      <c r="H47" s="31"/>
      <c r="I47" s="29" t="s">
        <v>95</v>
      </c>
      <c r="J47" s="29"/>
      <c r="K47" s="29" t="s">
        <v>103</v>
      </c>
      <c r="L47" s="29"/>
      <c r="M47" s="30">
        <f>2530000</f>
        <v>2530000</v>
      </c>
      <c r="N47" s="30"/>
      <c r="O47" s="30"/>
      <c r="P47" s="30">
        <f>1835599.27</f>
        <v>1835599.27</v>
      </c>
      <c r="Q47" s="30"/>
      <c r="R47" s="30"/>
      <c r="S47" s="30"/>
      <c r="T47" s="33">
        <f>694400.73</f>
        <v>694400.73</v>
      </c>
      <c r="U47" s="33"/>
    </row>
    <row r="48" spans="1:21" s="1" customFormat="1" ht="24" customHeight="1">
      <c r="A48" s="31" t="s">
        <v>104</v>
      </c>
      <c r="B48" s="31"/>
      <c r="C48" s="31"/>
      <c r="D48" s="31"/>
      <c r="E48" s="31"/>
      <c r="F48" s="31"/>
      <c r="G48" s="31"/>
      <c r="H48" s="31"/>
      <c r="I48" s="29" t="s">
        <v>95</v>
      </c>
      <c r="J48" s="29"/>
      <c r="K48" s="29" t="s">
        <v>105</v>
      </c>
      <c r="L48" s="29"/>
      <c r="M48" s="30">
        <f>60000</f>
        <v>60000</v>
      </c>
      <c r="N48" s="30"/>
      <c r="O48" s="30"/>
      <c r="P48" s="30">
        <f>49631</f>
        <v>49631</v>
      </c>
      <c r="Q48" s="30"/>
      <c r="R48" s="30"/>
      <c r="S48" s="30"/>
      <c r="T48" s="33">
        <f>10369</f>
        <v>10369</v>
      </c>
      <c r="U48" s="33"/>
    </row>
    <row r="49" spans="1:21" s="1" customFormat="1" ht="33.75" customHeight="1">
      <c r="A49" s="31" t="s">
        <v>106</v>
      </c>
      <c r="B49" s="31"/>
      <c r="C49" s="31"/>
      <c r="D49" s="31"/>
      <c r="E49" s="31"/>
      <c r="F49" s="31"/>
      <c r="G49" s="31"/>
      <c r="H49" s="31"/>
      <c r="I49" s="29" t="s">
        <v>95</v>
      </c>
      <c r="J49" s="29"/>
      <c r="K49" s="29" t="s">
        <v>107</v>
      </c>
      <c r="L49" s="29"/>
      <c r="M49" s="30">
        <f>503000</f>
        <v>503000</v>
      </c>
      <c r="N49" s="30"/>
      <c r="O49" s="30"/>
      <c r="P49" s="30">
        <f>343016.29</f>
        <v>343016.29</v>
      </c>
      <c r="Q49" s="30"/>
      <c r="R49" s="30"/>
      <c r="S49" s="30"/>
      <c r="T49" s="33">
        <f>159983.71</f>
        <v>159983.71</v>
      </c>
      <c r="U49" s="33"/>
    </row>
    <row r="50" spans="1:21" s="1" customFormat="1" ht="13.5" customHeight="1">
      <c r="A50" s="31" t="s">
        <v>102</v>
      </c>
      <c r="B50" s="31"/>
      <c r="C50" s="31"/>
      <c r="D50" s="31"/>
      <c r="E50" s="31"/>
      <c r="F50" s="31"/>
      <c r="G50" s="31"/>
      <c r="H50" s="31"/>
      <c r="I50" s="29" t="s">
        <v>95</v>
      </c>
      <c r="J50" s="29"/>
      <c r="K50" s="29" t="s">
        <v>108</v>
      </c>
      <c r="L50" s="29"/>
      <c r="M50" s="30">
        <f>26504710</f>
        <v>26504710</v>
      </c>
      <c r="N50" s="30"/>
      <c r="O50" s="30"/>
      <c r="P50" s="30">
        <f>19675824.79</f>
        <v>19675824.79</v>
      </c>
      <c r="Q50" s="30"/>
      <c r="R50" s="30"/>
      <c r="S50" s="30"/>
      <c r="T50" s="33">
        <f>6828885.21</f>
        <v>6828885.21</v>
      </c>
      <c r="U50" s="33"/>
    </row>
    <row r="51" spans="1:21" s="1" customFormat="1" ht="24" customHeight="1">
      <c r="A51" s="31" t="s">
        <v>104</v>
      </c>
      <c r="B51" s="31"/>
      <c r="C51" s="31"/>
      <c r="D51" s="31"/>
      <c r="E51" s="31"/>
      <c r="F51" s="31"/>
      <c r="G51" s="31"/>
      <c r="H51" s="31"/>
      <c r="I51" s="29" t="s">
        <v>95</v>
      </c>
      <c r="J51" s="29"/>
      <c r="K51" s="29" t="s">
        <v>109</v>
      </c>
      <c r="L51" s="29"/>
      <c r="M51" s="30">
        <f>1112000</f>
        <v>1112000</v>
      </c>
      <c r="N51" s="30"/>
      <c r="O51" s="30"/>
      <c r="P51" s="30">
        <f>769070.99</f>
        <v>769070.99</v>
      </c>
      <c r="Q51" s="30"/>
      <c r="R51" s="30"/>
      <c r="S51" s="30"/>
      <c r="T51" s="33">
        <f>342929.01</f>
        <v>342929.01</v>
      </c>
      <c r="U51" s="33"/>
    </row>
    <row r="52" spans="1:21" s="1" customFormat="1" ht="33.75" customHeight="1">
      <c r="A52" s="31" t="s">
        <v>106</v>
      </c>
      <c r="B52" s="31"/>
      <c r="C52" s="31"/>
      <c r="D52" s="31"/>
      <c r="E52" s="31"/>
      <c r="F52" s="31"/>
      <c r="G52" s="31"/>
      <c r="H52" s="31"/>
      <c r="I52" s="29" t="s">
        <v>95</v>
      </c>
      <c r="J52" s="29"/>
      <c r="K52" s="29" t="s">
        <v>110</v>
      </c>
      <c r="L52" s="29"/>
      <c r="M52" s="30">
        <f>7426000</f>
        <v>7426000</v>
      </c>
      <c r="N52" s="30"/>
      <c r="O52" s="30"/>
      <c r="P52" s="30">
        <f>5455544.55</f>
        <v>5455544.55</v>
      </c>
      <c r="Q52" s="30"/>
      <c r="R52" s="30"/>
      <c r="S52" s="30"/>
      <c r="T52" s="33">
        <f>1970455.45</f>
        <v>1970455.45</v>
      </c>
      <c r="U52" s="33"/>
    </row>
    <row r="53" spans="1:21" s="1" customFormat="1" ht="24" customHeight="1">
      <c r="A53" s="31" t="s">
        <v>96</v>
      </c>
      <c r="B53" s="31"/>
      <c r="C53" s="31"/>
      <c r="D53" s="31"/>
      <c r="E53" s="31"/>
      <c r="F53" s="31"/>
      <c r="G53" s="31"/>
      <c r="H53" s="31"/>
      <c r="I53" s="29" t="s">
        <v>95</v>
      </c>
      <c r="J53" s="29"/>
      <c r="K53" s="29" t="s">
        <v>111</v>
      </c>
      <c r="L53" s="29"/>
      <c r="M53" s="30">
        <f>4890425</f>
        <v>4890425</v>
      </c>
      <c r="N53" s="30"/>
      <c r="O53" s="30"/>
      <c r="P53" s="30">
        <f>2741122.66</f>
        <v>2741122.66</v>
      </c>
      <c r="Q53" s="30"/>
      <c r="R53" s="30"/>
      <c r="S53" s="30"/>
      <c r="T53" s="33">
        <f>2149302.34</f>
        <v>2149302.34</v>
      </c>
      <c r="U53" s="33"/>
    </row>
    <row r="54" spans="1:21" s="1" customFormat="1" ht="13.5" customHeight="1">
      <c r="A54" s="31" t="s">
        <v>112</v>
      </c>
      <c r="B54" s="31"/>
      <c r="C54" s="31"/>
      <c r="D54" s="31"/>
      <c r="E54" s="31"/>
      <c r="F54" s="31"/>
      <c r="G54" s="31"/>
      <c r="H54" s="31"/>
      <c r="I54" s="29" t="s">
        <v>95</v>
      </c>
      <c r="J54" s="29"/>
      <c r="K54" s="29" t="s">
        <v>113</v>
      </c>
      <c r="L54" s="29"/>
      <c r="M54" s="30">
        <f>642500</f>
        <v>642500</v>
      </c>
      <c r="N54" s="30"/>
      <c r="O54" s="30"/>
      <c r="P54" s="30">
        <f>256961</f>
        <v>256961</v>
      </c>
      <c r="Q54" s="30"/>
      <c r="R54" s="30"/>
      <c r="S54" s="30"/>
      <c r="T54" s="33">
        <f>385539</f>
        <v>385539</v>
      </c>
      <c r="U54" s="33"/>
    </row>
    <row r="55" spans="1:21" s="1" customFormat="1" ht="13.5" customHeight="1">
      <c r="A55" s="31" t="s">
        <v>114</v>
      </c>
      <c r="B55" s="31"/>
      <c r="C55" s="31"/>
      <c r="D55" s="31"/>
      <c r="E55" s="31"/>
      <c r="F55" s="31"/>
      <c r="G55" s="31"/>
      <c r="H55" s="31"/>
      <c r="I55" s="29" t="s">
        <v>95</v>
      </c>
      <c r="J55" s="29"/>
      <c r="K55" s="29" t="s">
        <v>115</v>
      </c>
      <c r="L55" s="29"/>
      <c r="M55" s="30">
        <f>36470</f>
        <v>36470</v>
      </c>
      <c r="N55" s="30"/>
      <c r="O55" s="30"/>
      <c r="P55" s="30">
        <f>31864.56</f>
        <v>31864.56</v>
      </c>
      <c r="Q55" s="30"/>
      <c r="R55" s="30"/>
      <c r="S55" s="30"/>
      <c r="T55" s="33">
        <f>4605.44</f>
        <v>4605.44</v>
      </c>
      <c r="U55" s="33"/>
    </row>
    <row r="56" spans="1:21" s="1" customFormat="1" ht="13.5" customHeight="1">
      <c r="A56" s="31" t="s">
        <v>98</v>
      </c>
      <c r="B56" s="31"/>
      <c r="C56" s="31"/>
      <c r="D56" s="31"/>
      <c r="E56" s="31"/>
      <c r="F56" s="31"/>
      <c r="G56" s="31"/>
      <c r="H56" s="31"/>
      <c r="I56" s="29" t="s">
        <v>95</v>
      </c>
      <c r="J56" s="29"/>
      <c r="K56" s="29" t="s">
        <v>116</v>
      </c>
      <c r="L56" s="29"/>
      <c r="M56" s="30">
        <f>1030</f>
        <v>1030</v>
      </c>
      <c r="N56" s="30"/>
      <c r="O56" s="30"/>
      <c r="P56" s="30">
        <f>1.23</f>
        <v>1.23</v>
      </c>
      <c r="Q56" s="30"/>
      <c r="R56" s="30"/>
      <c r="S56" s="30"/>
      <c r="T56" s="33">
        <f>1028.77</f>
        <v>1028.77</v>
      </c>
      <c r="U56" s="33"/>
    </row>
    <row r="57" spans="1:21" s="1" customFormat="1" ht="13.5" customHeight="1">
      <c r="A57" s="31" t="s">
        <v>100</v>
      </c>
      <c r="B57" s="31"/>
      <c r="C57" s="31"/>
      <c r="D57" s="31"/>
      <c r="E57" s="31"/>
      <c r="F57" s="31"/>
      <c r="G57" s="31"/>
      <c r="H57" s="31"/>
      <c r="I57" s="29" t="s">
        <v>95</v>
      </c>
      <c r="J57" s="29"/>
      <c r="K57" s="29" t="s">
        <v>117</v>
      </c>
      <c r="L57" s="29"/>
      <c r="M57" s="30">
        <f>693000</f>
        <v>693000</v>
      </c>
      <c r="N57" s="30"/>
      <c r="O57" s="30"/>
      <c r="P57" s="30">
        <f>519750</f>
        <v>519750</v>
      </c>
      <c r="Q57" s="30"/>
      <c r="R57" s="30"/>
      <c r="S57" s="30"/>
      <c r="T57" s="33">
        <f>173250</f>
        <v>173250</v>
      </c>
      <c r="U57" s="33"/>
    </row>
    <row r="58" spans="1:21" s="1" customFormat="1" ht="13.5" customHeight="1">
      <c r="A58" s="31" t="s">
        <v>100</v>
      </c>
      <c r="B58" s="31"/>
      <c r="C58" s="31"/>
      <c r="D58" s="31"/>
      <c r="E58" s="31"/>
      <c r="F58" s="31"/>
      <c r="G58" s="31"/>
      <c r="H58" s="31"/>
      <c r="I58" s="29" t="s">
        <v>95</v>
      </c>
      <c r="J58" s="29"/>
      <c r="K58" s="29" t="s">
        <v>118</v>
      </c>
      <c r="L58" s="29"/>
      <c r="M58" s="30">
        <f>465000</f>
        <v>465000</v>
      </c>
      <c r="N58" s="30"/>
      <c r="O58" s="30"/>
      <c r="P58" s="30">
        <f>348750</f>
        <v>348750</v>
      </c>
      <c r="Q58" s="30"/>
      <c r="R58" s="30"/>
      <c r="S58" s="30"/>
      <c r="T58" s="33">
        <f>116250</f>
        <v>116250</v>
      </c>
      <c r="U58" s="33"/>
    </row>
    <row r="59" spans="1:21" s="1" customFormat="1" ht="13.5" customHeight="1">
      <c r="A59" s="31" t="s">
        <v>100</v>
      </c>
      <c r="B59" s="31"/>
      <c r="C59" s="31"/>
      <c r="D59" s="31"/>
      <c r="E59" s="31"/>
      <c r="F59" s="31"/>
      <c r="G59" s="31"/>
      <c r="H59" s="31"/>
      <c r="I59" s="29" t="s">
        <v>95</v>
      </c>
      <c r="J59" s="29"/>
      <c r="K59" s="29" t="s">
        <v>119</v>
      </c>
      <c r="L59" s="29"/>
      <c r="M59" s="30">
        <f>172000</f>
        <v>172000</v>
      </c>
      <c r="N59" s="30"/>
      <c r="O59" s="30"/>
      <c r="P59" s="30">
        <f>129100</f>
        <v>129100</v>
      </c>
      <c r="Q59" s="30"/>
      <c r="R59" s="30"/>
      <c r="S59" s="30"/>
      <c r="T59" s="33">
        <f>42900</f>
        <v>42900</v>
      </c>
      <c r="U59" s="33"/>
    </row>
    <row r="60" spans="1:21" s="1" customFormat="1" ht="13.5" customHeight="1">
      <c r="A60" s="31" t="s">
        <v>100</v>
      </c>
      <c r="B60" s="31"/>
      <c r="C60" s="31"/>
      <c r="D60" s="31"/>
      <c r="E60" s="31"/>
      <c r="F60" s="31"/>
      <c r="G60" s="31"/>
      <c r="H60" s="31"/>
      <c r="I60" s="29" t="s">
        <v>95</v>
      </c>
      <c r="J60" s="29"/>
      <c r="K60" s="29" t="s">
        <v>120</v>
      </c>
      <c r="L60" s="29"/>
      <c r="M60" s="30">
        <f>187000</f>
        <v>187000</v>
      </c>
      <c r="N60" s="30"/>
      <c r="O60" s="30"/>
      <c r="P60" s="30">
        <f>141000</f>
        <v>141000</v>
      </c>
      <c r="Q60" s="30"/>
      <c r="R60" s="30"/>
      <c r="S60" s="30"/>
      <c r="T60" s="33">
        <f>46000</f>
        <v>46000</v>
      </c>
      <c r="U60" s="33"/>
    </row>
    <row r="61" spans="1:21" s="1" customFormat="1" ht="13.5" customHeight="1">
      <c r="A61" s="31" t="s">
        <v>121</v>
      </c>
      <c r="B61" s="31"/>
      <c r="C61" s="31"/>
      <c r="D61" s="31"/>
      <c r="E61" s="31"/>
      <c r="F61" s="31"/>
      <c r="G61" s="31"/>
      <c r="H61" s="31"/>
      <c r="I61" s="29" t="s">
        <v>95</v>
      </c>
      <c r="J61" s="29"/>
      <c r="K61" s="29" t="s">
        <v>122</v>
      </c>
      <c r="L61" s="29"/>
      <c r="M61" s="30">
        <f>400000</f>
        <v>400000</v>
      </c>
      <c r="N61" s="30"/>
      <c r="O61" s="30"/>
      <c r="P61" s="32" t="s">
        <v>51</v>
      </c>
      <c r="Q61" s="32"/>
      <c r="R61" s="32"/>
      <c r="S61" s="32"/>
      <c r="T61" s="33">
        <f>400000</f>
        <v>400000</v>
      </c>
      <c r="U61" s="33"/>
    </row>
    <row r="62" spans="1:21" s="1" customFormat="1" ht="24" customHeight="1">
      <c r="A62" s="31" t="s">
        <v>96</v>
      </c>
      <c r="B62" s="31"/>
      <c r="C62" s="31"/>
      <c r="D62" s="31"/>
      <c r="E62" s="31"/>
      <c r="F62" s="31"/>
      <c r="G62" s="31"/>
      <c r="H62" s="31"/>
      <c r="I62" s="29" t="s">
        <v>95</v>
      </c>
      <c r="J62" s="29"/>
      <c r="K62" s="29" t="s">
        <v>123</v>
      </c>
      <c r="L62" s="29"/>
      <c r="M62" s="30">
        <f>3180632.2</f>
        <v>3180632.2</v>
      </c>
      <c r="N62" s="30"/>
      <c r="O62" s="30"/>
      <c r="P62" s="30">
        <f>1247490.34</f>
        <v>1247490.34</v>
      </c>
      <c r="Q62" s="30"/>
      <c r="R62" s="30"/>
      <c r="S62" s="30"/>
      <c r="T62" s="33">
        <f>1933141.86</f>
        <v>1933141.86</v>
      </c>
      <c r="U62" s="33"/>
    </row>
    <row r="63" spans="1:21" s="1" customFormat="1" ht="13.5" customHeight="1">
      <c r="A63" s="31" t="s">
        <v>114</v>
      </c>
      <c r="B63" s="31"/>
      <c r="C63" s="31"/>
      <c r="D63" s="31"/>
      <c r="E63" s="31"/>
      <c r="F63" s="31"/>
      <c r="G63" s="31"/>
      <c r="H63" s="31"/>
      <c r="I63" s="29" t="s">
        <v>95</v>
      </c>
      <c r="J63" s="29"/>
      <c r="K63" s="29" t="s">
        <v>124</v>
      </c>
      <c r="L63" s="29"/>
      <c r="M63" s="30">
        <f>77567.8</f>
        <v>77567.8</v>
      </c>
      <c r="N63" s="30"/>
      <c r="O63" s="30"/>
      <c r="P63" s="30">
        <f>77567.8</f>
        <v>77567.8</v>
      </c>
      <c r="Q63" s="30"/>
      <c r="R63" s="30"/>
      <c r="S63" s="30"/>
      <c r="T63" s="33">
        <f>0</f>
        <v>0</v>
      </c>
      <c r="U63" s="33"/>
    </row>
    <row r="64" spans="1:21" s="1" customFormat="1" ht="24" customHeight="1">
      <c r="A64" s="31" t="s">
        <v>96</v>
      </c>
      <c r="B64" s="31"/>
      <c r="C64" s="31"/>
      <c r="D64" s="31"/>
      <c r="E64" s="31"/>
      <c r="F64" s="31"/>
      <c r="G64" s="31"/>
      <c r="H64" s="31"/>
      <c r="I64" s="29" t="s">
        <v>95</v>
      </c>
      <c r="J64" s="29"/>
      <c r="K64" s="29" t="s">
        <v>125</v>
      </c>
      <c r="L64" s="29"/>
      <c r="M64" s="30">
        <f>155000</f>
        <v>155000</v>
      </c>
      <c r="N64" s="30"/>
      <c r="O64" s="30"/>
      <c r="P64" s="30">
        <f>134950.34</f>
        <v>134950.34</v>
      </c>
      <c r="Q64" s="30"/>
      <c r="R64" s="30"/>
      <c r="S64" s="30"/>
      <c r="T64" s="33">
        <f>20049.66</f>
        <v>20049.66</v>
      </c>
      <c r="U64" s="33"/>
    </row>
    <row r="65" spans="1:21" s="1" customFormat="1" ht="13.5" customHeight="1">
      <c r="A65" s="31" t="s">
        <v>126</v>
      </c>
      <c r="B65" s="31"/>
      <c r="C65" s="31"/>
      <c r="D65" s="31"/>
      <c r="E65" s="31"/>
      <c r="F65" s="31"/>
      <c r="G65" s="31"/>
      <c r="H65" s="31"/>
      <c r="I65" s="29" t="s">
        <v>95</v>
      </c>
      <c r="J65" s="29"/>
      <c r="K65" s="29" t="s">
        <v>127</v>
      </c>
      <c r="L65" s="29"/>
      <c r="M65" s="30">
        <f>7000</f>
        <v>7000</v>
      </c>
      <c r="N65" s="30"/>
      <c r="O65" s="30"/>
      <c r="P65" s="30">
        <f>4000</f>
        <v>4000</v>
      </c>
      <c r="Q65" s="30"/>
      <c r="R65" s="30"/>
      <c r="S65" s="30"/>
      <c r="T65" s="33">
        <f>3000</f>
        <v>3000</v>
      </c>
      <c r="U65" s="33"/>
    </row>
    <row r="66" spans="1:21" s="1" customFormat="1" ht="13.5" customHeight="1">
      <c r="A66" s="31" t="s">
        <v>128</v>
      </c>
      <c r="B66" s="31"/>
      <c r="C66" s="31"/>
      <c r="D66" s="31"/>
      <c r="E66" s="31"/>
      <c r="F66" s="31"/>
      <c r="G66" s="31"/>
      <c r="H66" s="31"/>
      <c r="I66" s="29" t="s">
        <v>95</v>
      </c>
      <c r="J66" s="29"/>
      <c r="K66" s="29" t="s">
        <v>129</v>
      </c>
      <c r="L66" s="29"/>
      <c r="M66" s="30">
        <f>0</f>
        <v>0</v>
      </c>
      <c r="N66" s="30"/>
      <c r="O66" s="30"/>
      <c r="P66" s="32" t="s">
        <v>51</v>
      </c>
      <c r="Q66" s="32"/>
      <c r="R66" s="32"/>
      <c r="S66" s="32"/>
      <c r="T66" s="33">
        <f>0</f>
        <v>0</v>
      </c>
      <c r="U66" s="33"/>
    </row>
    <row r="67" spans="1:21" s="1" customFormat="1" ht="24" customHeight="1">
      <c r="A67" s="31" t="s">
        <v>96</v>
      </c>
      <c r="B67" s="31"/>
      <c r="C67" s="31"/>
      <c r="D67" s="31"/>
      <c r="E67" s="31"/>
      <c r="F67" s="31"/>
      <c r="G67" s="31"/>
      <c r="H67" s="31"/>
      <c r="I67" s="29" t="s">
        <v>95</v>
      </c>
      <c r="J67" s="29"/>
      <c r="K67" s="29" t="s">
        <v>130</v>
      </c>
      <c r="L67" s="29"/>
      <c r="M67" s="30">
        <f>220000</f>
        <v>220000</v>
      </c>
      <c r="N67" s="30"/>
      <c r="O67" s="30"/>
      <c r="P67" s="30">
        <f>107152</f>
        <v>107152</v>
      </c>
      <c r="Q67" s="30"/>
      <c r="R67" s="30"/>
      <c r="S67" s="30"/>
      <c r="T67" s="33">
        <f>112848</f>
        <v>112848</v>
      </c>
      <c r="U67" s="33"/>
    </row>
    <row r="68" spans="1:21" s="1" customFormat="1" ht="24" customHeight="1">
      <c r="A68" s="31" t="s">
        <v>96</v>
      </c>
      <c r="B68" s="31"/>
      <c r="C68" s="31"/>
      <c r="D68" s="31"/>
      <c r="E68" s="31"/>
      <c r="F68" s="31"/>
      <c r="G68" s="31"/>
      <c r="H68" s="31"/>
      <c r="I68" s="29" t="s">
        <v>95</v>
      </c>
      <c r="J68" s="29"/>
      <c r="K68" s="29" t="s">
        <v>131</v>
      </c>
      <c r="L68" s="29"/>
      <c r="M68" s="30">
        <f>0</f>
        <v>0</v>
      </c>
      <c r="N68" s="30"/>
      <c r="O68" s="30"/>
      <c r="P68" s="32" t="s">
        <v>51</v>
      </c>
      <c r="Q68" s="32"/>
      <c r="R68" s="32"/>
      <c r="S68" s="32"/>
      <c r="T68" s="33">
        <f>0</f>
        <v>0</v>
      </c>
      <c r="U68" s="33"/>
    </row>
    <row r="69" spans="1:21" s="1" customFormat="1" ht="24" customHeight="1">
      <c r="A69" s="31" t="s">
        <v>96</v>
      </c>
      <c r="B69" s="31"/>
      <c r="C69" s="31"/>
      <c r="D69" s="31"/>
      <c r="E69" s="31"/>
      <c r="F69" s="31"/>
      <c r="G69" s="31"/>
      <c r="H69" s="31"/>
      <c r="I69" s="29" t="s">
        <v>95</v>
      </c>
      <c r="J69" s="29"/>
      <c r="K69" s="29" t="s">
        <v>132</v>
      </c>
      <c r="L69" s="29"/>
      <c r="M69" s="30">
        <f>4000</f>
        <v>4000</v>
      </c>
      <c r="N69" s="30"/>
      <c r="O69" s="30"/>
      <c r="P69" s="30">
        <f>4000</f>
        <v>4000</v>
      </c>
      <c r="Q69" s="30"/>
      <c r="R69" s="30"/>
      <c r="S69" s="30"/>
      <c r="T69" s="33">
        <f>0</f>
        <v>0</v>
      </c>
      <c r="U69" s="33"/>
    </row>
    <row r="70" spans="1:21" s="1" customFormat="1" ht="13.5" customHeight="1">
      <c r="A70" s="31" t="s">
        <v>102</v>
      </c>
      <c r="B70" s="31"/>
      <c r="C70" s="31"/>
      <c r="D70" s="31"/>
      <c r="E70" s="31"/>
      <c r="F70" s="31"/>
      <c r="G70" s="31"/>
      <c r="H70" s="31"/>
      <c r="I70" s="29" t="s">
        <v>95</v>
      </c>
      <c r="J70" s="29"/>
      <c r="K70" s="29" t="s">
        <v>133</v>
      </c>
      <c r="L70" s="29"/>
      <c r="M70" s="30">
        <f>342200</f>
        <v>342200</v>
      </c>
      <c r="N70" s="30"/>
      <c r="O70" s="30"/>
      <c r="P70" s="30">
        <f>219141.81</f>
        <v>219141.81</v>
      </c>
      <c r="Q70" s="30"/>
      <c r="R70" s="30"/>
      <c r="S70" s="30"/>
      <c r="T70" s="33">
        <f>123058.19</f>
        <v>123058.19</v>
      </c>
      <c r="U70" s="33"/>
    </row>
    <row r="71" spans="1:21" s="1" customFormat="1" ht="24" customHeight="1">
      <c r="A71" s="31" t="s">
        <v>104</v>
      </c>
      <c r="B71" s="31"/>
      <c r="C71" s="31"/>
      <c r="D71" s="31"/>
      <c r="E71" s="31"/>
      <c r="F71" s="31"/>
      <c r="G71" s="31"/>
      <c r="H71" s="31"/>
      <c r="I71" s="29" t="s">
        <v>95</v>
      </c>
      <c r="J71" s="29"/>
      <c r="K71" s="29" t="s">
        <v>134</v>
      </c>
      <c r="L71" s="29"/>
      <c r="M71" s="30">
        <f>36500</f>
        <v>36500</v>
      </c>
      <c r="N71" s="30"/>
      <c r="O71" s="30"/>
      <c r="P71" s="30">
        <f>777</f>
        <v>777</v>
      </c>
      <c r="Q71" s="30"/>
      <c r="R71" s="30"/>
      <c r="S71" s="30"/>
      <c r="T71" s="33">
        <f>35723</f>
        <v>35723</v>
      </c>
      <c r="U71" s="33"/>
    </row>
    <row r="72" spans="1:21" s="1" customFormat="1" ht="33.75" customHeight="1">
      <c r="A72" s="31" t="s">
        <v>106</v>
      </c>
      <c r="B72" s="31"/>
      <c r="C72" s="31"/>
      <c r="D72" s="31"/>
      <c r="E72" s="31"/>
      <c r="F72" s="31"/>
      <c r="G72" s="31"/>
      <c r="H72" s="31"/>
      <c r="I72" s="29" t="s">
        <v>95</v>
      </c>
      <c r="J72" s="29"/>
      <c r="K72" s="29" t="s">
        <v>135</v>
      </c>
      <c r="L72" s="29"/>
      <c r="M72" s="30">
        <f>103300</f>
        <v>103300</v>
      </c>
      <c r="N72" s="30"/>
      <c r="O72" s="30"/>
      <c r="P72" s="30">
        <f>61282.4</f>
        <v>61282.4</v>
      </c>
      <c r="Q72" s="30"/>
      <c r="R72" s="30"/>
      <c r="S72" s="30"/>
      <c r="T72" s="33">
        <f>42017.6</f>
        <v>42017.6</v>
      </c>
      <c r="U72" s="33"/>
    </row>
    <row r="73" spans="1:21" s="1" customFormat="1" ht="24" customHeight="1">
      <c r="A73" s="31" t="s">
        <v>96</v>
      </c>
      <c r="B73" s="31"/>
      <c r="C73" s="31"/>
      <c r="D73" s="31"/>
      <c r="E73" s="31"/>
      <c r="F73" s="31"/>
      <c r="G73" s="31"/>
      <c r="H73" s="31"/>
      <c r="I73" s="29" t="s">
        <v>95</v>
      </c>
      <c r="J73" s="29"/>
      <c r="K73" s="29" t="s">
        <v>136</v>
      </c>
      <c r="L73" s="29"/>
      <c r="M73" s="30">
        <f>0</f>
        <v>0</v>
      </c>
      <c r="N73" s="30"/>
      <c r="O73" s="30"/>
      <c r="P73" s="30">
        <f>0</f>
        <v>0</v>
      </c>
      <c r="Q73" s="30"/>
      <c r="R73" s="30"/>
      <c r="S73" s="30"/>
      <c r="T73" s="33">
        <f>0</f>
        <v>0</v>
      </c>
      <c r="U73" s="33"/>
    </row>
    <row r="74" spans="1:21" s="1" customFormat="1" ht="24" customHeight="1">
      <c r="A74" s="31" t="s">
        <v>137</v>
      </c>
      <c r="B74" s="31"/>
      <c r="C74" s="31"/>
      <c r="D74" s="31"/>
      <c r="E74" s="31"/>
      <c r="F74" s="31"/>
      <c r="G74" s="31"/>
      <c r="H74" s="31"/>
      <c r="I74" s="29" t="s">
        <v>95</v>
      </c>
      <c r="J74" s="29"/>
      <c r="K74" s="29" t="s">
        <v>138</v>
      </c>
      <c r="L74" s="29"/>
      <c r="M74" s="30">
        <f>500000</f>
        <v>500000</v>
      </c>
      <c r="N74" s="30"/>
      <c r="O74" s="30"/>
      <c r="P74" s="30">
        <f>365000</f>
        <v>365000</v>
      </c>
      <c r="Q74" s="30"/>
      <c r="R74" s="30"/>
      <c r="S74" s="30"/>
      <c r="T74" s="33">
        <f>135000</f>
        <v>135000</v>
      </c>
      <c r="U74" s="33"/>
    </row>
    <row r="75" spans="1:21" s="1" customFormat="1" ht="24" customHeight="1">
      <c r="A75" s="31" t="s">
        <v>137</v>
      </c>
      <c r="B75" s="31"/>
      <c r="C75" s="31"/>
      <c r="D75" s="31"/>
      <c r="E75" s="31"/>
      <c r="F75" s="31"/>
      <c r="G75" s="31"/>
      <c r="H75" s="31"/>
      <c r="I75" s="29" t="s">
        <v>95</v>
      </c>
      <c r="J75" s="29"/>
      <c r="K75" s="29" t="s">
        <v>139</v>
      </c>
      <c r="L75" s="29"/>
      <c r="M75" s="30">
        <f>750000</f>
        <v>750000</v>
      </c>
      <c r="N75" s="30"/>
      <c r="O75" s="30"/>
      <c r="P75" s="30">
        <f>576298</f>
        <v>576298</v>
      </c>
      <c r="Q75" s="30"/>
      <c r="R75" s="30"/>
      <c r="S75" s="30"/>
      <c r="T75" s="33">
        <f>173702</f>
        <v>173702</v>
      </c>
      <c r="U75" s="33"/>
    </row>
    <row r="76" spans="1:21" s="1" customFormat="1" ht="24" customHeight="1">
      <c r="A76" s="31" t="s">
        <v>96</v>
      </c>
      <c r="B76" s="31"/>
      <c r="C76" s="31"/>
      <c r="D76" s="31"/>
      <c r="E76" s="31"/>
      <c r="F76" s="31"/>
      <c r="G76" s="31"/>
      <c r="H76" s="31"/>
      <c r="I76" s="29" t="s">
        <v>95</v>
      </c>
      <c r="J76" s="29"/>
      <c r="K76" s="29" t="s">
        <v>140</v>
      </c>
      <c r="L76" s="29"/>
      <c r="M76" s="30">
        <f>2316000</f>
        <v>2316000</v>
      </c>
      <c r="N76" s="30"/>
      <c r="O76" s="30"/>
      <c r="P76" s="30">
        <f>1382884</f>
        <v>1382884</v>
      </c>
      <c r="Q76" s="30"/>
      <c r="R76" s="30"/>
      <c r="S76" s="30"/>
      <c r="T76" s="33">
        <f>933116</f>
        <v>933116</v>
      </c>
      <c r="U76" s="33"/>
    </row>
    <row r="77" spans="1:21" s="1" customFormat="1" ht="24" customHeight="1">
      <c r="A77" s="31" t="s">
        <v>96</v>
      </c>
      <c r="B77" s="31"/>
      <c r="C77" s="31"/>
      <c r="D77" s="31"/>
      <c r="E77" s="31"/>
      <c r="F77" s="31"/>
      <c r="G77" s="31"/>
      <c r="H77" s="31"/>
      <c r="I77" s="29" t="s">
        <v>95</v>
      </c>
      <c r="J77" s="29"/>
      <c r="K77" s="29" t="s">
        <v>141</v>
      </c>
      <c r="L77" s="29"/>
      <c r="M77" s="30">
        <f>7255326</f>
        <v>7255326</v>
      </c>
      <c r="N77" s="30"/>
      <c r="O77" s="30"/>
      <c r="P77" s="30">
        <f>7237776.72</f>
        <v>7237776.72</v>
      </c>
      <c r="Q77" s="30"/>
      <c r="R77" s="30"/>
      <c r="S77" s="30"/>
      <c r="T77" s="33">
        <f>17549.28</f>
        <v>17549.28</v>
      </c>
      <c r="U77" s="33"/>
    </row>
    <row r="78" spans="1:21" s="1" customFormat="1" ht="24" customHeight="1">
      <c r="A78" s="31" t="s">
        <v>96</v>
      </c>
      <c r="B78" s="31"/>
      <c r="C78" s="31"/>
      <c r="D78" s="31"/>
      <c r="E78" s="31"/>
      <c r="F78" s="31"/>
      <c r="G78" s="31"/>
      <c r="H78" s="31"/>
      <c r="I78" s="29" t="s">
        <v>95</v>
      </c>
      <c r="J78" s="29"/>
      <c r="K78" s="29" t="s">
        <v>142</v>
      </c>
      <c r="L78" s="29"/>
      <c r="M78" s="30">
        <f>5353166.79</f>
        <v>5353166.79</v>
      </c>
      <c r="N78" s="30"/>
      <c r="O78" s="30"/>
      <c r="P78" s="30">
        <f>1594713.91</f>
        <v>1594713.91</v>
      </c>
      <c r="Q78" s="30"/>
      <c r="R78" s="30"/>
      <c r="S78" s="30"/>
      <c r="T78" s="33">
        <f>3758452.88</f>
        <v>3758452.88</v>
      </c>
      <c r="U78" s="33"/>
    </row>
    <row r="79" spans="1:21" s="1" customFormat="1" ht="24" customHeight="1">
      <c r="A79" s="31" t="s">
        <v>96</v>
      </c>
      <c r="B79" s="31"/>
      <c r="C79" s="31"/>
      <c r="D79" s="31"/>
      <c r="E79" s="31"/>
      <c r="F79" s="31"/>
      <c r="G79" s="31"/>
      <c r="H79" s="31"/>
      <c r="I79" s="29" t="s">
        <v>95</v>
      </c>
      <c r="J79" s="29"/>
      <c r="K79" s="29" t="s">
        <v>143</v>
      </c>
      <c r="L79" s="29"/>
      <c r="M79" s="30">
        <f>6481000</f>
        <v>6481000</v>
      </c>
      <c r="N79" s="30"/>
      <c r="O79" s="30"/>
      <c r="P79" s="30">
        <f>3948195.68</f>
        <v>3948195.68</v>
      </c>
      <c r="Q79" s="30"/>
      <c r="R79" s="30"/>
      <c r="S79" s="30"/>
      <c r="T79" s="33">
        <f>2532804.32</f>
        <v>2532804.32</v>
      </c>
      <c r="U79" s="33"/>
    </row>
    <row r="80" spans="1:21" s="1" customFormat="1" ht="24" customHeight="1">
      <c r="A80" s="31" t="s">
        <v>96</v>
      </c>
      <c r="B80" s="31"/>
      <c r="C80" s="31"/>
      <c r="D80" s="31"/>
      <c r="E80" s="31"/>
      <c r="F80" s="31"/>
      <c r="G80" s="31"/>
      <c r="H80" s="31"/>
      <c r="I80" s="29" t="s">
        <v>95</v>
      </c>
      <c r="J80" s="29"/>
      <c r="K80" s="29" t="s">
        <v>144</v>
      </c>
      <c r="L80" s="29"/>
      <c r="M80" s="30">
        <f>394000</f>
        <v>394000</v>
      </c>
      <c r="N80" s="30"/>
      <c r="O80" s="30"/>
      <c r="P80" s="30">
        <f>213732.74</f>
        <v>213732.74</v>
      </c>
      <c r="Q80" s="30"/>
      <c r="R80" s="30"/>
      <c r="S80" s="30"/>
      <c r="T80" s="33">
        <f>180267.26</f>
        <v>180267.26</v>
      </c>
      <c r="U80" s="33"/>
    </row>
    <row r="81" spans="1:21" s="1" customFormat="1" ht="24" customHeight="1">
      <c r="A81" s="31" t="s">
        <v>96</v>
      </c>
      <c r="B81" s="31"/>
      <c r="C81" s="31"/>
      <c r="D81" s="31"/>
      <c r="E81" s="31"/>
      <c r="F81" s="31"/>
      <c r="G81" s="31"/>
      <c r="H81" s="31"/>
      <c r="I81" s="29" t="s">
        <v>95</v>
      </c>
      <c r="J81" s="29"/>
      <c r="K81" s="29" t="s">
        <v>145</v>
      </c>
      <c r="L81" s="29"/>
      <c r="M81" s="30">
        <f>980000</f>
        <v>980000</v>
      </c>
      <c r="N81" s="30"/>
      <c r="O81" s="30"/>
      <c r="P81" s="30">
        <f>900000</f>
        <v>900000</v>
      </c>
      <c r="Q81" s="30"/>
      <c r="R81" s="30"/>
      <c r="S81" s="30"/>
      <c r="T81" s="33">
        <f>80000</f>
        <v>80000</v>
      </c>
      <c r="U81" s="33"/>
    </row>
    <row r="82" spans="1:21" s="1" customFormat="1" ht="24" customHeight="1">
      <c r="A82" s="31" t="s">
        <v>96</v>
      </c>
      <c r="B82" s="31"/>
      <c r="C82" s="31"/>
      <c r="D82" s="31"/>
      <c r="E82" s="31"/>
      <c r="F82" s="31"/>
      <c r="G82" s="31"/>
      <c r="H82" s="31"/>
      <c r="I82" s="29" t="s">
        <v>95</v>
      </c>
      <c r="J82" s="29"/>
      <c r="K82" s="29" t="s">
        <v>146</v>
      </c>
      <c r="L82" s="29"/>
      <c r="M82" s="30">
        <f>335080</f>
        <v>335080</v>
      </c>
      <c r="N82" s="30"/>
      <c r="O82" s="30"/>
      <c r="P82" s="30">
        <f>331781.63</f>
        <v>331781.63</v>
      </c>
      <c r="Q82" s="30"/>
      <c r="R82" s="30"/>
      <c r="S82" s="30"/>
      <c r="T82" s="33">
        <f>3298.37</f>
        <v>3298.37</v>
      </c>
      <c r="U82" s="33"/>
    </row>
    <row r="83" spans="1:21" s="1" customFormat="1" ht="33.75" customHeight="1">
      <c r="A83" s="31" t="s">
        <v>147</v>
      </c>
      <c r="B83" s="31"/>
      <c r="C83" s="31"/>
      <c r="D83" s="31"/>
      <c r="E83" s="31"/>
      <c r="F83" s="31"/>
      <c r="G83" s="31"/>
      <c r="H83" s="31"/>
      <c r="I83" s="29" t="s">
        <v>95</v>
      </c>
      <c r="J83" s="29"/>
      <c r="K83" s="29" t="s">
        <v>148</v>
      </c>
      <c r="L83" s="29"/>
      <c r="M83" s="30">
        <f>3635210</f>
        <v>3635210</v>
      </c>
      <c r="N83" s="30"/>
      <c r="O83" s="30"/>
      <c r="P83" s="30">
        <f>1067713.99</f>
        <v>1067713.99</v>
      </c>
      <c r="Q83" s="30"/>
      <c r="R83" s="30"/>
      <c r="S83" s="30"/>
      <c r="T83" s="33">
        <f>2567496.01</f>
        <v>2567496.01</v>
      </c>
      <c r="U83" s="33"/>
    </row>
    <row r="84" spans="1:21" s="1" customFormat="1" ht="24" customHeight="1">
      <c r="A84" s="31" t="s">
        <v>96</v>
      </c>
      <c r="B84" s="31"/>
      <c r="C84" s="31"/>
      <c r="D84" s="31"/>
      <c r="E84" s="31"/>
      <c r="F84" s="31"/>
      <c r="G84" s="31"/>
      <c r="H84" s="31"/>
      <c r="I84" s="29" t="s">
        <v>95</v>
      </c>
      <c r="J84" s="29"/>
      <c r="K84" s="29" t="s">
        <v>149</v>
      </c>
      <c r="L84" s="29"/>
      <c r="M84" s="30">
        <f>0</f>
        <v>0</v>
      </c>
      <c r="N84" s="30"/>
      <c r="O84" s="30"/>
      <c r="P84" s="32" t="s">
        <v>51</v>
      </c>
      <c r="Q84" s="32"/>
      <c r="R84" s="32"/>
      <c r="S84" s="32"/>
      <c r="T84" s="33">
        <f>0</f>
        <v>0</v>
      </c>
      <c r="U84" s="33"/>
    </row>
    <row r="85" spans="1:21" s="1" customFormat="1" ht="33.75" customHeight="1">
      <c r="A85" s="31" t="s">
        <v>147</v>
      </c>
      <c r="B85" s="31"/>
      <c r="C85" s="31"/>
      <c r="D85" s="31"/>
      <c r="E85" s="31"/>
      <c r="F85" s="31"/>
      <c r="G85" s="31"/>
      <c r="H85" s="31"/>
      <c r="I85" s="29" t="s">
        <v>95</v>
      </c>
      <c r="J85" s="29"/>
      <c r="K85" s="29" t="s">
        <v>150</v>
      </c>
      <c r="L85" s="29"/>
      <c r="M85" s="30">
        <f>182000</f>
        <v>182000</v>
      </c>
      <c r="N85" s="30"/>
      <c r="O85" s="30"/>
      <c r="P85" s="30">
        <f>53385.7</f>
        <v>53385.7</v>
      </c>
      <c r="Q85" s="30"/>
      <c r="R85" s="30"/>
      <c r="S85" s="30"/>
      <c r="T85" s="33">
        <f>128614.3</f>
        <v>128614.3</v>
      </c>
      <c r="U85" s="33"/>
    </row>
    <row r="86" spans="1:21" s="1" customFormat="1" ht="13.5" customHeight="1">
      <c r="A86" s="31" t="s">
        <v>100</v>
      </c>
      <c r="B86" s="31"/>
      <c r="C86" s="31"/>
      <c r="D86" s="31"/>
      <c r="E86" s="31"/>
      <c r="F86" s="31"/>
      <c r="G86" s="31"/>
      <c r="H86" s="31"/>
      <c r="I86" s="29" t="s">
        <v>95</v>
      </c>
      <c r="J86" s="29"/>
      <c r="K86" s="29" t="s">
        <v>151</v>
      </c>
      <c r="L86" s="29"/>
      <c r="M86" s="30">
        <f>223000</f>
        <v>223000</v>
      </c>
      <c r="N86" s="30"/>
      <c r="O86" s="30"/>
      <c r="P86" s="30">
        <f>223000</f>
        <v>223000</v>
      </c>
      <c r="Q86" s="30"/>
      <c r="R86" s="30"/>
      <c r="S86" s="30"/>
      <c r="T86" s="33">
        <f>0</f>
        <v>0</v>
      </c>
      <c r="U86" s="33"/>
    </row>
    <row r="87" spans="1:21" s="1" customFormat="1" ht="33.75" customHeight="1">
      <c r="A87" s="31" t="s">
        <v>147</v>
      </c>
      <c r="B87" s="31"/>
      <c r="C87" s="31"/>
      <c r="D87" s="31"/>
      <c r="E87" s="31"/>
      <c r="F87" s="31"/>
      <c r="G87" s="31"/>
      <c r="H87" s="31"/>
      <c r="I87" s="29" t="s">
        <v>95</v>
      </c>
      <c r="J87" s="29"/>
      <c r="K87" s="29" t="s">
        <v>152</v>
      </c>
      <c r="L87" s="29"/>
      <c r="M87" s="30">
        <f>1243000</f>
        <v>1243000</v>
      </c>
      <c r="N87" s="30"/>
      <c r="O87" s="30"/>
      <c r="P87" s="30">
        <f>698956.25</f>
        <v>698956.25</v>
      </c>
      <c r="Q87" s="30"/>
      <c r="R87" s="30"/>
      <c r="S87" s="30"/>
      <c r="T87" s="33">
        <f>544043.75</f>
        <v>544043.75</v>
      </c>
      <c r="U87" s="33"/>
    </row>
    <row r="88" spans="1:21" s="1" customFormat="1" ht="24" customHeight="1">
      <c r="A88" s="31" t="s">
        <v>96</v>
      </c>
      <c r="B88" s="31"/>
      <c r="C88" s="31"/>
      <c r="D88" s="31"/>
      <c r="E88" s="31"/>
      <c r="F88" s="31"/>
      <c r="G88" s="31"/>
      <c r="H88" s="31"/>
      <c r="I88" s="29" t="s">
        <v>95</v>
      </c>
      <c r="J88" s="29"/>
      <c r="K88" s="29" t="s">
        <v>153</v>
      </c>
      <c r="L88" s="29"/>
      <c r="M88" s="30">
        <f>240000</f>
        <v>240000</v>
      </c>
      <c r="N88" s="30"/>
      <c r="O88" s="30"/>
      <c r="P88" s="30">
        <f>240000</f>
        <v>240000</v>
      </c>
      <c r="Q88" s="30"/>
      <c r="R88" s="30"/>
      <c r="S88" s="30"/>
      <c r="T88" s="33">
        <f>0</f>
        <v>0</v>
      </c>
      <c r="U88" s="33"/>
    </row>
    <row r="89" spans="1:21" s="1" customFormat="1" ht="24" customHeight="1">
      <c r="A89" s="31" t="s">
        <v>96</v>
      </c>
      <c r="B89" s="31"/>
      <c r="C89" s="31"/>
      <c r="D89" s="31"/>
      <c r="E89" s="31"/>
      <c r="F89" s="31"/>
      <c r="G89" s="31"/>
      <c r="H89" s="31"/>
      <c r="I89" s="29" t="s">
        <v>95</v>
      </c>
      <c r="J89" s="29"/>
      <c r="K89" s="29" t="s">
        <v>154</v>
      </c>
      <c r="L89" s="29"/>
      <c r="M89" s="30">
        <f>5893000</f>
        <v>5893000</v>
      </c>
      <c r="N89" s="30"/>
      <c r="O89" s="30"/>
      <c r="P89" s="30">
        <f>3441246.21</f>
        <v>3441246.21</v>
      </c>
      <c r="Q89" s="30"/>
      <c r="R89" s="30"/>
      <c r="S89" s="30"/>
      <c r="T89" s="33">
        <f>2451753.79</f>
        <v>2451753.79</v>
      </c>
      <c r="U89" s="33"/>
    </row>
    <row r="90" spans="1:21" s="1" customFormat="1" ht="24" customHeight="1">
      <c r="A90" s="31" t="s">
        <v>96</v>
      </c>
      <c r="B90" s="31"/>
      <c r="C90" s="31"/>
      <c r="D90" s="31"/>
      <c r="E90" s="31"/>
      <c r="F90" s="31"/>
      <c r="G90" s="31"/>
      <c r="H90" s="31"/>
      <c r="I90" s="29" t="s">
        <v>95</v>
      </c>
      <c r="J90" s="29"/>
      <c r="K90" s="29" t="s">
        <v>155</v>
      </c>
      <c r="L90" s="29"/>
      <c r="M90" s="30">
        <f>2342949.49</f>
        <v>2342949.49</v>
      </c>
      <c r="N90" s="30"/>
      <c r="O90" s="30"/>
      <c r="P90" s="30">
        <f>1420914.79</f>
        <v>1420914.79</v>
      </c>
      <c r="Q90" s="30"/>
      <c r="R90" s="30"/>
      <c r="S90" s="30"/>
      <c r="T90" s="33">
        <f>922034.7</f>
        <v>922034.7</v>
      </c>
      <c r="U90" s="33"/>
    </row>
    <row r="91" spans="1:21" s="1" customFormat="1" ht="24" customHeight="1">
      <c r="A91" s="31" t="s">
        <v>96</v>
      </c>
      <c r="B91" s="31"/>
      <c r="C91" s="31"/>
      <c r="D91" s="31"/>
      <c r="E91" s="31"/>
      <c r="F91" s="31"/>
      <c r="G91" s="31"/>
      <c r="H91" s="31"/>
      <c r="I91" s="29" t="s">
        <v>95</v>
      </c>
      <c r="J91" s="29"/>
      <c r="K91" s="29" t="s">
        <v>156</v>
      </c>
      <c r="L91" s="29"/>
      <c r="M91" s="30">
        <f>1947800</f>
        <v>1947800</v>
      </c>
      <c r="N91" s="30"/>
      <c r="O91" s="30"/>
      <c r="P91" s="30">
        <f>1152638.91</f>
        <v>1152638.91</v>
      </c>
      <c r="Q91" s="30"/>
      <c r="R91" s="30"/>
      <c r="S91" s="30"/>
      <c r="T91" s="33">
        <f>795161.09</f>
        <v>795161.09</v>
      </c>
      <c r="U91" s="33"/>
    </row>
    <row r="92" spans="1:21" s="1" customFormat="1" ht="24" customHeight="1">
      <c r="A92" s="31" t="s">
        <v>96</v>
      </c>
      <c r="B92" s="31"/>
      <c r="C92" s="31"/>
      <c r="D92" s="31"/>
      <c r="E92" s="31"/>
      <c r="F92" s="31"/>
      <c r="G92" s="31"/>
      <c r="H92" s="31"/>
      <c r="I92" s="29" t="s">
        <v>95</v>
      </c>
      <c r="J92" s="29"/>
      <c r="K92" s="29" t="s">
        <v>157</v>
      </c>
      <c r="L92" s="29"/>
      <c r="M92" s="30">
        <f>115577.72</f>
        <v>115577.72</v>
      </c>
      <c r="N92" s="30"/>
      <c r="O92" s="30"/>
      <c r="P92" s="30">
        <f>61732.87</f>
        <v>61732.87</v>
      </c>
      <c r="Q92" s="30"/>
      <c r="R92" s="30"/>
      <c r="S92" s="30"/>
      <c r="T92" s="33">
        <f>53844.85</f>
        <v>53844.85</v>
      </c>
      <c r="U92" s="33"/>
    </row>
    <row r="93" spans="1:21" s="1" customFormat="1" ht="33.75" customHeight="1">
      <c r="A93" s="31" t="s">
        <v>158</v>
      </c>
      <c r="B93" s="31"/>
      <c r="C93" s="31"/>
      <c r="D93" s="31"/>
      <c r="E93" s="31"/>
      <c r="F93" s="31"/>
      <c r="G93" s="31"/>
      <c r="H93" s="31"/>
      <c r="I93" s="29" t="s">
        <v>95</v>
      </c>
      <c r="J93" s="29"/>
      <c r="K93" s="29" t="s">
        <v>159</v>
      </c>
      <c r="L93" s="29"/>
      <c r="M93" s="30">
        <f>100000</f>
        <v>100000</v>
      </c>
      <c r="N93" s="30"/>
      <c r="O93" s="30"/>
      <c r="P93" s="30">
        <f>57668.1</f>
        <v>57668.1</v>
      </c>
      <c r="Q93" s="30"/>
      <c r="R93" s="30"/>
      <c r="S93" s="30"/>
      <c r="T93" s="33">
        <f>42331.9</f>
        <v>42331.9</v>
      </c>
      <c r="U93" s="33"/>
    </row>
    <row r="94" spans="1:21" s="1" customFormat="1" ht="24" customHeight="1">
      <c r="A94" s="31" t="s">
        <v>96</v>
      </c>
      <c r="B94" s="31"/>
      <c r="C94" s="31"/>
      <c r="D94" s="31"/>
      <c r="E94" s="31"/>
      <c r="F94" s="31"/>
      <c r="G94" s="31"/>
      <c r="H94" s="31"/>
      <c r="I94" s="29" t="s">
        <v>95</v>
      </c>
      <c r="J94" s="29"/>
      <c r="K94" s="29" t="s">
        <v>160</v>
      </c>
      <c r="L94" s="29"/>
      <c r="M94" s="30">
        <f>170000</f>
        <v>170000</v>
      </c>
      <c r="N94" s="30"/>
      <c r="O94" s="30"/>
      <c r="P94" s="30">
        <f>122445.89</f>
        <v>122445.89</v>
      </c>
      <c r="Q94" s="30"/>
      <c r="R94" s="30"/>
      <c r="S94" s="30"/>
      <c r="T94" s="33">
        <f>47554.11</f>
        <v>47554.11</v>
      </c>
      <c r="U94" s="33"/>
    </row>
    <row r="95" spans="1:21" s="1" customFormat="1" ht="13.5" customHeight="1">
      <c r="A95" s="31" t="s">
        <v>100</v>
      </c>
      <c r="B95" s="31"/>
      <c r="C95" s="31"/>
      <c r="D95" s="31"/>
      <c r="E95" s="31"/>
      <c r="F95" s="31"/>
      <c r="G95" s="31"/>
      <c r="H95" s="31"/>
      <c r="I95" s="29" t="s">
        <v>95</v>
      </c>
      <c r="J95" s="29"/>
      <c r="K95" s="29" t="s">
        <v>161</v>
      </c>
      <c r="L95" s="29"/>
      <c r="M95" s="30">
        <f>66000</f>
        <v>66000</v>
      </c>
      <c r="N95" s="30"/>
      <c r="O95" s="30"/>
      <c r="P95" s="30">
        <f>66000</f>
        <v>66000</v>
      </c>
      <c r="Q95" s="30"/>
      <c r="R95" s="30"/>
      <c r="S95" s="30"/>
      <c r="T95" s="33">
        <f>0</f>
        <v>0</v>
      </c>
      <c r="U95" s="33"/>
    </row>
    <row r="96" spans="1:21" s="1" customFormat="1" ht="13.5" customHeight="1">
      <c r="A96" s="31" t="s">
        <v>162</v>
      </c>
      <c r="B96" s="31"/>
      <c r="C96" s="31"/>
      <c r="D96" s="31"/>
      <c r="E96" s="31"/>
      <c r="F96" s="31"/>
      <c r="G96" s="31"/>
      <c r="H96" s="31"/>
      <c r="I96" s="29" t="s">
        <v>95</v>
      </c>
      <c r="J96" s="29"/>
      <c r="K96" s="29" t="s">
        <v>163</v>
      </c>
      <c r="L96" s="29"/>
      <c r="M96" s="30">
        <f>100000</f>
        <v>100000</v>
      </c>
      <c r="N96" s="30"/>
      <c r="O96" s="30"/>
      <c r="P96" s="30">
        <f>100000</f>
        <v>100000</v>
      </c>
      <c r="Q96" s="30"/>
      <c r="R96" s="30"/>
      <c r="S96" s="30"/>
      <c r="T96" s="33">
        <f>0</f>
        <v>0</v>
      </c>
      <c r="U96" s="33"/>
    </row>
    <row r="97" spans="1:21" s="1" customFormat="1" ht="33.75" customHeight="1">
      <c r="A97" s="31" t="s">
        <v>164</v>
      </c>
      <c r="B97" s="31"/>
      <c r="C97" s="31"/>
      <c r="D97" s="31"/>
      <c r="E97" s="31"/>
      <c r="F97" s="31"/>
      <c r="G97" s="31"/>
      <c r="H97" s="31"/>
      <c r="I97" s="29" t="s">
        <v>95</v>
      </c>
      <c r="J97" s="29"/>
      <c r="K97" s="29" t="s">
        <v>165</v>
      </c>
      <c r="L97" s="29"/>
      <c r="M97" s="30">
        <f>14980000</f>
        <v>14980000</v>
      </c>
      <c r="N97" s="30"/>
      <c r="O97" s="30"/>
      <c r="P97" s="30">
        <f>11648500</f>
        <v>11648500</v>
      </c>
      <c r="Q97" s="30"/>
      <c r="R97" s="30"/>
      <c r="S97" s="30"/>
      <c r="T97" s="33">
        <f>3331500</f>
        <v>3331500</v>
      </c>
      <c r="U97" s="33"/>
    </row>
    <row r="98" spans="1:21" s="1" customFormat="1" ht="13.5" customHeight="1">
      <c r="A98" s="31" t="s">
        <v>162</v>
      </c>
      <c r="B98" s="31"/>
      <c r="C98" s="31"/>
      <c r="D98" s="31"/>
      <c r="E98" s="31"/>
      <c r="F98" s="31"/>
      <c r="G98" s="31"/>
      <c r="H98" s="31"/>
      <c r="I98" s="29" t="s">
        <v>95</v>
      </c>
      <c r="J98" s="29"/>
      <c r="K98" s="29" t="s">
        <v>166</v>
      </c>
      <c r="L98" s="29"/>
      <c r="M98" s="30">
        <f>580000</f>
        <v>580000</v>
      </c>
      <c r="N98" s="30"/>
      <c r="O98" s="30"/>
      <c r="P98" s="30">
        <f>580000</f>
        <v>580000</v>
      </c>
      <c r="Q98" s="30"/>
      <c r="R98" s="30"/>
      <c r="S98" s="30"/>
      <c r="T98" s="33">
        <f>0</f>
        <v>0</v>
      </c>
      <c r="U98" s="33"/>
    </row>
    <row r="99" spans="1:21" s="1" customFormat="1" ht="33.75" customHeight="1">
      <c r="A99" s="31" t="s">
        <v>164</v>
      </c>
      <c r="B99" s="31"/>
      <c r="C99" s="31"/>
      <c r="D99" s="31"/>
      <c r="E99" s="31"/>
      <c r="F99" s="31"/>
      <c r="G99" s="31"/>
      <c r="H99" s="31"/>
      <c r="I99" s="29" t="s">
        <v>95</v>
      </c>
      <c r="J99" s="29"/>
      <c r="K99" s="29" t="s">
        <v>167</v>
      </c>
      <c r="L99" s="29"/>
      <c r="M99" s="30">
        <f>7091000</f>
        <v>7091000</v>
      </c>
      <c r="N99" s="30"/>
      <c r="O99" s="30"/>
      <c r="P99" s="30">
        <f>5286600</f>
        <v>5286600</v>
      </c>
      <c r="Q99" s="30"/>
      <c r="R99" s="30"/>
      <c r="S99" s="30"/>
      <c r="T99" s="33">
        <f>1804400</f>
        <v>1804400</v>
      </c>
      <c r="U99" s="33"/>
    </row>
    <row r="100" spans="1:21" s="1" customFormat="1" ht="13.5" customHeight="1">
      <c r="A100" s="31" t="s">
        <v>162</v>
      </c>
      <c r="B100" s="31"/>
      <c r="C100" s="31"/>
      <c r="D100" s="31"/>
      <c r="E100" s="31"/>
      <c r="F100" s="31"/>
      <c r="G100" s="31"/>
      <c r="H100" s="31"/>
      <c r="I100" s="29" t="s">
        <v>95</v>
      </c>
      <c r="J100" s="29"/>
      <c r="K100" s="29" t="s">
        <v>168</v>
      </c>
      <c r="L100" s="29"/>
      <c r="M100" s="30">
        <f>305000</f>
        <v>305000</v>
      </c>
      <c r="N100" s="30"/>
      <c r="O100" s="30"/>
      <c r="P100" s="30">
        <f>305000</f>
        <v>305000</v>
      </c>
      <c r="Q100" s="30"/>
      <c r="R100" s="30"/>
      <c r="S100" s="30"/>
      <c r="T100" s="33">
        <f>0</f>
        <v>0</v>
      </c>
      <c r="U100" s="33"/>
    </row>
    <row r="101" spans="1:21" s="1" customFormat="1" ht="24" customHeight="1">
      <c r="A101" s="31" t="s">
        <v>169</v>
      </c>
      <c r="B101" s="31"/>
      <c r="C101" s="31"/>
      <c r="D101" s="31"/>
      <c r="E101" s="31"/>
      <c r="F101" s="31"/>
      <c r="G101" s="31"/>
      <c r="H101" s="31"/>
      <c r="I101" s="29" t="s">
        <v>95</v>
      </c>
      <c r="J101" s="29"/>
      <c r="K101" s="29" t="s">
        <v>170</v>
      </c>
      <c r="L101" s="29"/>
      <c r="M101" s="30">
        <f>365000</f>
        <v>365000</v>
      </c>
      <c r="N101" s="30"/>
      <c r="O101" s="30"/>
      <c r="P101" s="30">
        <f>241650</f>
        <v>241650</v>
      </c>
      <c r="Q101" s="30"/>
      <c r="R101" s="30"/>
      <c r="S101" s="30"/>
      <c r="T101" s="33">
        <f>123350</f>
        <v>123350</v>
      </c>
      <c r="U101" s="33"/>
    </row>
    <row r="102" spans="1:21" s="1" customFormat="1" ht="24" customHeight="1">
      <c r="A102" s="31" t="s">
        <v>171</v>
      </c>
      <c r="B102" s="31"/>
      <c r="C102" s="31"/>
      <c r="D102" s="31"/>
      <c r="E102" s="31"/>
      <c r="F102" s="31"/>
      <c r="G102" s="31"/>
      <c r="H102" s="31"/>
      <c r="I102" s="29" t="s">
        <v>95</v>
      </c>
      <c r="J102" s="29"/>
      <c r="K102" s="29" t="s">
        <v>172</v>
      </c>
      <c r="L102" s="29"/>
      <c r="M102" s="30">
        <f>0</f>
        <v>0</v>
      </c>
      <c r="N102" s="30"/>
      <c r="O102" s="30"/>
      <c r="P102" s="32" t="s">
        <v>51</v>
      </c>
      <c r="Q102" s="32"/>
      <c r="R102" s="32"/>
      <c r="S102" s="32"/>
      <c r="T102" s="33">
        <f>0</f>
        <v>0</v>
      </c>
      <c r="U102" s="33"/>
    </row>
    <row r="103" spans="1:21" s="1" customFormat="1" ht="24" customHeight="1">
      <c r="A103" s="31" t="s">
        <v>171</v>
      </c>
      <c r="B103" s="31"/>
      <c r="C103" s="31"/>
      <c r="D103" s="31"/>
      <c r="E103" s="31"/>
      <c r="F103" s="31"/>
      <c r="G103" s="31"/>
      <c r="H103" s="31"/>
      <c r="I103" s="29" t="s">
        <v>95</v>
      </c>
      <c r="J103" s="29"/>
      <c r="K103" s="29" t="s">
        <v>173</v>
      </c>
      <c r="L103" s="29"/>
      <c r="M103" s="30">
        <f>0</f>
        <v>0</v>
      </c>
      <c r="N103" s="30"/>
      <c r="O103" s="30"/>
      <c r="P103" s="32" t="s">
        <v>51</v>
      </c>
      <c r="Q103" s="32"/>
      <c r="R103" s="32"/>
      <c r="S103" s="32"/>
      <c r="T103" s="33">
        <f>0</f>
        <v>0</v>
      </c>
      <c r="U103" s="33"/>
    </row>
    <row r="104" spans="1:21" s="1" customFormat="1" ht="24" customHeight="1">
      <c r="A104" s="31" t="s">
        <v>171</v>
      </c>
      <c r="B104" s="31"/>
      <c r="C104" s="31"/>
      <c r="D104" s="31"/>
      <c r="E104" s="31"/>
      <c r="F104" s="31"/>
      <c r="G104" s="31"/>
      <c r="H104" s="31"/>
      <c r="I104" s="29" t="s">
        <v>95</v>
      </c>
      <c r="J104" s="29"/>
      <c r="K104" s="29" t="s">
        <v>174</v>
      </c>
      <c r="L104" s="29"/>
      <c r="M104" s="30">
        <f>0</f>
        <v>0</v>
      </c>
      <c r="N104" s="30"/>
      <c r="O104" s="30"/>
      <c r="P104" s="32" t="s">
        <v>51</v>
      </c>
      <c r="Q104" s="32"/>
      <c r="R104" s="32"/>
      <c r="S104" s="32"/>
      <c r="T104" s="33">
        <f>0</f>
        <v>0</v>
      </c>
      <c r="U104" s="33"/>
    </row>
    <row r="105" spans="1:21" s="1" customFormat="1" ht="24" customHeight="1">
      <c r="A105" s="31" t="s">
        <v>96</v>
      </c>
      <c r="B105" s="31"/>
      <c r="C105" s="31"/>
      <c r="D105" s="31"/>
      <c r="E105" s="31"/>
      <c r="F105" s="31"/>
      <c r="G105" s="31"/>
      <c r="H105" s="31"/>
      <c r="I105" s="29" t="s">
        <v>95</v>
      </c>
      <c r="J105" s="29"/>
      <c r="K105" s="29" t="s">
        <v>175</v>
      </c>
      <c r="L105" s="29"/>
      <c r="M105" s="30">
        <f>408000</f>
        <v>408000</v>
      </c>
      <c r="N105" s="30"/>
      <c r="O105" s="30"/>
      <c r="P105" s="30">
        <f>214200</f>
        <v>214200</v>
      </c>
      <c r="Q105" s="30"/>
      <c r="R105" s="30"/>
      <c r="S105" s="30"/>
      <c r="T105" s="33">
        <f>193800</f>
        <v>193800</v>
      </c>
      <c r="U105" s="33"/>
    </row>
    <row r="106" spans="1:21" s="1" customFormat="1" ht="13.5" customHeight="1">
      <c r="A106" s="31" t="s">
        <v>128</v>
      </c>
      <c r="B106" s="31"/>
      <c r="C106" s="31"/>
      <c r="D106" s="31"/>
      <c r="E106" s="31"/>
      <c r="F106" s="31"/>
      <c r="G106" s="31"/>
      <c r="H106" s="31"/>
      <c r="I106" s="29" t="s">
        <v>95</v>
      </c>
      <c r="J106" s="29"/>
      <c r="K106" s="29" t="s">
        <v>176</v>
      </c>
      <c r="L106" s="29"/>
      <c r="M106" s="30">
        <f>1672865</f>
        <v>1672865</v>
      </c>
      <c r="N106" s="30"/>
      <c r="O106" s="30"/>
      <c r="P106" s="30">
        <f>1431050.59</f>
        <v>1431050.59</v>
      </c>
      <c r="Q106" s="30"/>
      <c r="R106" s="30"/>
      <c r="S106" s="30"/>
      <c r="T106" s="33">
        <f>241814.41</f>
        <v>241814.41</v>
      </c>
      <c r="U106" s="33"/>
    </row>
    <row r="107" spans="1:21" s="1" customFormat="1" ht="13.5" customHeight="1">
      <c r="A107" s="31" t="s">
        <v>128</v>
      </c>
      <c r="B107" s="31"/>
      <c r="C107" s="31"/>
      <c r="D107" s="31"/>
      <c r="E107" s="31"/>
      <c r="F107" s="31"/>
      <c r="G107" s="31"/>
      <c r="H107" s="31"/>
      <c r="I107" s="29" t="s">
        <v>95</v>
      </c>
      <c r="J107" s="29"/>
      <c r="K107" s="29" t="s">
        <v>177</v>
      </c>
      <c r="L107" s="29"/>
      <c r="M107" s="30">
        <f>12932000</f>
        <v>12932000</v>
      </c>
      <c r="N107" s="30"/>
      <c r="O107" s="30"/>
      <c r="P107" s="30">
        <f>7578216.41</f>
        <v>7578216.41</v>
      </c>
      <c r="Q107" s="30"/>
      <c r="R107" s="30"/>
      <c r="S107" s="30"/>
      <c r="T107" s="33">
        <f>5353783.59</f>
        <v>5353783.59</v>
      </c>
      <c r="U107" s="33"/>
    </row>
    <row r="108" spans="1:21" s="1" customFormat="1" ht="24" customHeight="1">
      <c r="A108" s="31" t="s">
        <v>169</v>
      </c>
      <c r="B108" s="31"/>
      <c r="C108" s="31"/>
      <c r="D108" s="31"/>
      <c r="E108" s="31"/>
      <c r="F108" s="31"/>
      <c r="G108" s="31"/>
      <c r="H108" s="31"/>
      <c r="I108" s="29" t="s">
        <v>95</v>
      </c>
      <c r="J108" s="29"/>
      <c r="K108" s="29" t="s">
        <v>178</v>
      </c>
      <c r="L108" s="29"/>
      <c r="M108" s="30">
        <f>95800</f>
        <v>95800</v>
      </c>
      <c r="N108" s="30"/>
      <c r="O108" s="30"/>
      <c r="P108" s="30">
        <f>95746.38</f>
        <v>95746.38</v>
      </c>
      <c r="Q108" s="30"/>
      <c r="R108" s="30"/>
      <c r="S108" s="30"/>
      <c r="T108" s="33">
        <f>53.62</f>
        <v>53.62</v>
      </c>
      <c r="U108" s="33"/>
    </row>
    <row r="109" spans="1:21" s="1" customFormat="1" ht="24" customHeight="1">
      <c r="A109" s="31" t="s">
        <v>96</v>
      </c>
      <c r="B109" s="31"/>
      <c r="C109" s="31"/>
      <c r="D109" s="31"/>
      <c r="E109" s="31"/>
      <c r="F109" s="31"/>
      <c r="G109" s="31"/>
      <c r="H109" s="31"/>
      <c r="I109" s="29" t="s">
        <v>95</v>
      </c>
      <c r="J109" s="29"/>
      <c r="K109" s="29" t="s">
        <v>179</v>
      </c>
      <c r="L109" s="29"/>
      <c r="M109" s="30">
        <f>220000</f>
        <v>220000</v>
      </c>
      <c r="N109" s="30"/>
      <c r="O109" s="30"/>
      <c r="P109" s="30">
        <f>143393</f>
        <v>143393</v>
      </c>
      <c r="Q109" s="30"/>
      <c r="R109" s="30"/>
      <c r="S109" s="30"/>
      <c r="T109" s="33">
        <f>76607</f>
        <v>76607</v>
      </c>
      <c r="U109" s="33"/>
    </row>
    <row r="110" spans="1:21" s="1" customFormat="1" ht="33.75" customHeight="1">
      <c r="A110" s="31" t="s">
        <v>164</v>
      </c>
      <c r="B110" s="31"/>
      <c r="C110" s="31"/>
      <c r="D110" s="31"/>
      <c r="E110" s="31"/>
      <c r="F110" s="31"/>
      <c r="G110" s="31"/>
      <c r="H110" s="31"/>
      <c r="I110" s="29" t="s">
        <v>95</v>
      </c>
      <c r="J110" s="29"/>
      <c r="K110" s="29" t="s">
        <v>180</v>
      </c>
      <c r="L110" s="29"/>
      <c r="M110" s="30">
        <f>6599000</f>
        <v>6599000</v>
      </c>
      <c r="N110" s="30"/>
      <c r="O110" s="30"/>
      <c r="P110" s="30">
        <f>4945500</f>
        <v>4945500</v>
      </c>
      <c r="Q110" s="30"/>
      <c r="R110" s="30"/>
      <c r="S110" s="30"/>
      <c r="T110" s="33">
        <f>1653500</f>
        <v>1653500</v>
      </c>
      <c r="U110" s="33"/>
    </row>
    <row r="111" spans="1:21" s="1" customFormat="1" ht="13.5" customHeight="1">
      <c r="A111" s="31" t="s">
        <v>162</v>
      </c>
      <c r="B111" s="31"/>
      <c r="C111" s="31"/>
      <c r="D111" s="31"/>
      <c r="E111" s="31"/>
      <c r="F111" s="31"/>
      <c r="G111" s="31"/>
      <c r="H111" s="31"/>
      <c r="I111" s="29" t="s">
        <v>95</v>
      </c>
      <c r="J111" s="29"/>
      <c r="K111" s="29" t="s">
        <v>181</v>
      </c>
      <c r="L111" s="29"/>
      <c r="M111" s="30">
        <f>809701.88</f>
        <v>809701.88</v>
      </c>
      <c r="N111" s="30"/>
      <c r="O111" s="30"/>
      <c r="P111" s="30">
        <f>460000</f>
        <v>460000</v>
      </c>
      <c r="Q111" s="30"/>
      <c r="R111" s="30"/>
      <c r="S111" s="30"/>
      <c r="T111" s="33">
        <f>349701.88</f>
        <v>349701.88</v>
      </c>
      <c r="U111" s="33"/>
    </row>
    <row r="112" spans="1:21" s="1" customFormat="1" ht="15" customHeight="1">
      <c r="A112" s="34" t="s">
        <v>182</v>
      </c>
      <c r="B112" s="34"/>
      <c r="C112" s="34"/>
      <c r="D112" s="34"/>
      <c r="E112" s="34"/>
      <c r="F112" s="34"/>
      <c r="G112" s="34"/>
      <c r="H112" s="34"/>
      <c r="I112" s="35" t="s">
        <v>183</v>
      </c>
      <c r="J112" s="35"/>
      <c r="K112" s="35" t="s">
        <v>38</v>
      </c>
      <c r="L112" s="35"/>
      <c r="M112" s="36">
        <f>-6786475.88</f>
        <v>-6786475.88</v>
      </c>
      <c r="N112" s="36"/>
      <c r="O112" s="36"/>
      <c r="P112" s="36">
        <f>4222750.52</f>
        <v>4222750.52</v>
      </c>
      <c r="Q112" s="36"/>
      <c r="R112" s="36"/>
      <c r="S112" s="36"/>
      <c r="T112" s="37" t="s">
        <v>38</v>
      </c>
      <c r="U112" s="37"/>
    </row>
    <row r="113" spans="1:21" s="1" customFormat="1" ht="13.5" customHeight="1">
      <c r="A113" s="8" t="s">
        <v>18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1" customFormat="1" ht="13.5" customHeight="1">
      <c r="A114" s="12" t="s">
        <v>184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s="1" customFormat="1" ht="45.75" customHeight="1">
      <c r="A115" s="13" t="s">
        <v>24</v>
      </c>
      <c r="B115" s="13"/>
      <c r="C115" s="13"/>
      <c r="D115" s="13"/>
      <c r="E115" s="13"/>
      <c r="F115" s="13"/>
      <c r="G115" s="13"/>
      <c r="H115" s="13"/>
      <c r="I115" s="13" t="s">
        <v>25</v>
      </c>
      <c r="J115" s="13"/>
      <c r="K115" s="13" t="s">
        <v>185</v>
      </c>
      <c r="L115" s="13"/>
      <c r="M115" s="14" t="s">
        <v>27</v>
      </c>
      <c r="N115" s="14"/>
      <c r="O115" s="14"/>
      <c r="P115" s="14" t="s">
        <v>28</v>
      </c>
      <c r="Q115" s="14"/>
      <c r="R115" s="14"/>
      <c r="S115" s="14"/>
      <c r="T115" s="17" t="s">
        <v>29</v>
      </c>
      <c r="U115" s="17"/>
    </row>
    <row r="116" spans="1:21" s="1" customFormat="1" ht="12.75" customHeight="1">
      <c r="A116" s="18" t="s">
        <v>30</v>
      </c>
      <c r="B116" s="18"/>
      <c r="C116" s="18"/>
      <c r="D116" s="18"/>
      <c r="E116" s="18"/>
      <c r="F116" s="18"/>
      <c r="G116" s="18"/>
      <c r="H116" s="18"/>
      <c r="I116" s="18" t="s">
        <v>31</v>
      </c>
      <c r="J116" s="18"/>
      <c r="K116" s="18" t="s">
        <v>32</v>
      </c>
      <c r="L116" s="18"/>
      <c r="M116" s="19" t="s">
        <v>33</v>
      </c>
      <c r="N116" s="19"/>
      <c r="O116" s="19"/>
      <c r="P116" s="19" t="s">
        <v>34</v>
      </c>
      <c r="Q116" s="19"/>
      <c r="R116" s="19"/>
      <c r="S116" s="19"/>
      <c r="T116" s="20" t="s">
        <v>35</v>
      </c>
      <c r="U116" s="20"/>
    </row>
    <row r="117" spans="1:21" s="1" customFormat="1" ht="13.5" customHeight="1">
      <c r="A117" s="26" t="s">
        <v>186</v>
      </c>
      <c r="B117" s="26"/>
      <c r="C117" s="26"/>
      <c r="D117" s="26"/>
      <c r="E117" s="26"/>
      <c r="F117" s="26"/>
      <c r="G117" s="26"/>
      <c r="H117" s="26"/>
      <c r="I117" s="15" t="s">
        <v>187</v>
      </c>
      <c r="J117" s="15"/>
      <c r="K117" s="15" t="s">
        <v>38</v>
      </c>
      <c r="L117" s="15"/>
      <c r="M117" s="38">
        <f>6786475.88</f>
        <v>6786475.88</v>
      </c>
      <c r="N117" s="38"/>
      <c r="O117" s="38"/>
      <c r="P117" s="16">
        <f>-4222750.52</f>
        <v>-4222750.52</v>
      </c>
      <c r="Q117" s="16"/>
      <c r="R117" s="16"/>
      <c r="S117" s="16"/>
      <c r="T117" s="39">
        <f>11009226.4</f>
        <v>11009226.4</v>
      </c>
      <c r="U117" s="39"/>
    </row>
    <row r="118" spans="1:21" s="1" customFormat="1" ht="13.5" customHeight="1">
      <c r="A118" s="42" t="s">
        <v>188</v>
      </c>
      <c r="B118" s="42"/>
      <c r="C118" s="42"/>
      <c r="D118" s="42"/>
      <c r="E118" s="42"/>
      <c r="F118" s="42"/>
      <c r="G118" s="42"/>
      <c r="H118" s="42"/>
      <c r="I118" s="43" t="s">
        <v>18</v>
      </c>
      <c r="J118" s="43"/>
      <c r="K118" s="43" t="s">
        <v>18</v>
      </c>
      <c r="L118" s="43"/>
      <c r="M118" s="44" t="s">
        <v>18</v>
      </c>
      <c r="N118" s="44"/>
      <c r="O118" s="44"/>
      <c r="P118" s="47" t="s">
        <v>18</v>
      </c>
      <c r="Q118" s="47"/>
      <c r="R118" s="47"/>
      <c r="S118" s="47"/>
      <c r="T118" s="45" t="s">
        <v>18</v>
      </c>
      <c r="U118" s="45"/>
    </row>
    <row r="119" spans="1:21" s="1" customFormat="1" ht="13.5" customHeight="1">
      <c r="A119" s="22" t="s">
        <v>189</v>
      </c>
      <c r="B119" s="22"/>
      <c r="C119" s="22"/>
      <c r="D119" s="22"/>
      <c r="E119" s="22"/>
      <c r="F119" s="22"/>
      <c r="G119" s="22"/>
      <c r="H119" s="22"/>
      <c r="I119" s="48" t="s">
        <v>190</v>
      </c>
      <c r="J119" s="48"/>
      <c r="K119" s="23" t="s">
        <v>38</v>
      </c>
      <c r="L119" s="23"/>
      <c r="M119" s="40" t="s">
        <v>51</v>
      </c>
      <c r="N119" s="40"/>
      <c r="O119" s="40"/>
      <c r="P119" s="27" t="s">
        <v>51</v>
      </c>
      <c r="Q119" s="27"/>
      <c r="R119" s="27"/>
      <c r="S119" s="27"/>
      <c r="T119" s="41" t="s">
        <v>51</v>
      </c>
      <c r="U119" s="41"/>
    </row>
    <row r="120" spans="1:21" s="1" customFormat="1" ht="13.5" customHeight="1">
      <c r="A120" s="31" t="s">
        <v>18</v>
      </c>
      <c r="B120" s="31"/>
      <c r="C120" s="31"/>
      <c r="D120" s="31"/>
      <c r="E120" s="31"/>
      <c r="F120" s="31"/>
      <c r="G120" s="31"/>
      <c r="H120" s="31"/>
      <c r="I120" s="29" t="s">
        <v>190</v>
      </c>
      <c r="J120" s="29"/>
      <c r="K120" s="29" t="s">
        <v>18</v>
      </c>
      <c r="L120" s="29"/>
      <c r="M120" s="46" t="s">
        <v>51</v>
      </c>
      <c r="N120" s="46"/>
      <c r="O120" s="46"/>
      <c r="P120" s="32" t="s">
        <v>51</v>
      </c>
      <c r="Q120" s="32"/>
      <c r="R120" s="32"/>
      <c r="S120" s="32"/>
      <c r="T120" s="49" t="s">
        <v>51</v>
      </c>
      <c r="U120" s="49"/>
    </row>
    <row r="121" spans="1:21" s="1" customFormat="1" ht="0.75" customHeight="1">
      <c r="A121" s="50" t="s">
        <v>18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</row>
    <row r="122" spans="1:21" s="1" customFormat="1" ht="13.5" customHeight="1">
      <c r="A122" s="31" t="s">
        <v>191</v>
      </c>
      <c r="B122" s="31"/>
      <c r="C122" s="31"/>
      <c r="D122" s="31"/>
      <c r="E122" s="31"/>
      <c r="F122" s="31"/>
      <c r="G122" s="31"/>
      <c r="H122" s="31"/>
      <c r="I122" s="43" t="s">
        <v>192</v>
      </c>
      <c r="J122" s="43"/>
      <c r="K122" s="43" t="s">
        <v>38</v>
      </c>
      <c r="L122" s="43"/>
      <c r="M122" s="44" t="s">
        <v>51</v>
      </c>
      <c r="N122" s="44"/>
      <c r="O122" s="44"/>
      <c r="P122" s="32" t="s">
        <v>51</v>
      </c>
      <c r="Q122" s="32"/>
      <c r="R122" s="32"/>
      <c r="S122" s="32"/>
      <c r="T122" s="45" t="s">
        <v>51</v>
      </c>
      <c r="U122" s="45"/>
    </row>
    <row r="123" spans="1:21" s="1" customFormat="1" ht="13.5" customHeight="1">
      <c r="A123" s="31" t="s">
        <v>18</v>
      </c>
      <c r="B123" s="31"/>
      <c r="C123" s="31"/>
      <c r="D123" s="31"/>
      <c r="E123" s="31"/>
      <c r="F123" s="31"/>
      <c r="G123" s="31"/>
      <c r="H123" s="31"/>
      <c r="I123" s="29" t="s">
        <v>192</v>
      </c>
      <c r="J123" s="29"/>
      <c r="K123" s="29" t="s">
        <v>18</v>
      </c>
      <c r="L123" s="29"/>
      <c r="M123" s="46" t="s">
        <v>51</v>
      </c>
      <c r="N123" s="46"/>
      <c r="O123" s="46"/>
      <c r="P123" s="32" t="s">
        <v>51</v>
      </c>
      <c r="Q123" s="32"/>
      <c r="R123" s="32"/>
      <c r="S123" s="32"/>
      <c r="T123" s="49" t="s">
        <v>51</v>
      </c>
      <c r="U123" s="49"/>
    </row>
    <row r="124" spans="1:21" s="1" customFormat="1" ht="13.5" customHeight="1">
      <c r="A124" s="31" t="s">
        <v>193</v>
      </c>
      <c r="B124" s="31"/>
      <c r="C124" s="31"/>
      <c r="D124" s="31"/>
      <c r="E124" s="31"/>
      <c r="F124" s="31"/>
      <c r="G124" s="31"/>
      <c r="H124" s="31"/>
      <c r="I124" s="29" t="s">
        <v>194</v>
      </c>
      <c r="J124" s="29"/>
      <c r="K124" s="29" t="s">
        <v>195</v>
      </c>
      <c r="L124" s="29"/>
      <c r="M124" s="51">
        <f>6786475.88</f>
        <v>6786475.88</v>
      </c>
      <c r="N124" s="51"/>
      <c r="O124" s="51"/>
      <c r="P124" s="30">
        <f>-4222750.52</f>
        <v>-4222750.52</v>
      </c>
      <c r="Q124" s="30"/>
      <c r="R124" s="30"/>
      <c r="S124" s="30"/>
      <c r="T124" s="52">
        <f>11009226.4</f>
        <v>11009226.4</v>
      </c>
      <c r="U124" s="52"/>
    </row>
    <row r="125" spans="1:21" s="1" customFormat="1" ht="13.5" customHeight="1">
      <c r="A125" s="31" t="s">
        <v>196</v>
      </c>
      <c r="B125" s="31"/>
      <c r="C125" s="31"/>
      <c r="D125" s="31"/>
      <c r="E125" s="31"/>
      <c r="F125" s="31"/>
      <c r="G125" s="31"/>
      <c r="H125" s="31"/>
      <c r="I125" s="29" t="s">
        <v>197</v>
      </c>
      <c r="J125" s="29"/>
      <c r="K125" s="29" t="s">
        <v>198</v>
      </c>
      <c r="L125" s="29"/>
      <c r="M125" s="51">
        <f>-129729336</f>
        <v>-129729336</v>
      </c>
      <c r="N125" s="51"/>
      <c r="O125" s="51"/>
      <c r="P125" s="30">
        <f>-97318092.9</f>
        <v>-97318092.9</v>
      </c>
      <c r="Q125" s="30"/>
      <c r="R125" s="30"/>
      <c r="S125" s="30"/>
      <c r="T125" s="53" t="s">
        <v>38</v>
      </c>
      <c r="U125" s="53"/>
    </row>
    <row r="126" spans="1:21" s="1" customFormat="1" ht="13.5" customHeight="1">
      <c r="A126" s="31" t="s">
        <v>199</v>
      </c>
      <c r="B126" s="31"/>
      <c r="C126" s="31"/>
      <c r="D126" s="31"/>
      <c r="E126" s="31"/>
      <c r="F126" s="31"/>
      <c r="G126" s="31"/>
      <c r="H126" s="31"/>
      <c r="I126" s="29" t="s">
        <v>200</v>
      </c>
      <c r="J126" s="29"/>
      <c r="K126" s="29" t="s">
        <v>201</v>
      </c>
      <c r="L126" s="29"/>
      <c r="M126" s="51">
        <f>136515811.88</f>
        <v>136515811.88</v>
      </c>
      <c r="N126" s="51"/>
      <c r="O126" s="51"/>
      <c r="P126" s="30">
        <f>93095342.38</f>
        <v>93095342.38</v>
      </c>
      <c r="Q126" s="30"/>
      <c r="R126" s="30"/>
      <c r="S126" s="30"/>
      <c r="T126" s="53" t="s">
        <v>38</v>
      </c>
      <c r="U126" s="53"/>
    </row>
    <row r="127" spans="1:21" s="1" customFormat="1" ht="13.5" customHeight="1">
      <c r="A127" s="54" t="s">
        <v>18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21" s="1" customFormat="1" ht="13.5" customHeight="1">
      <c r="A128" s="55"/>
      <c r="B128" s="55"/>
      <c r="C128" s="55"/>
      <c r="D128" s="55"/>
      <c r="E128" s="55"/>
      <c r="F128" s="55"/>
      <c r="G128" s="55"/>
      <c r="H128" s="8" t="s">
        <v>18</v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s="1" customFormat="1" ht="13.5" customHeight="1">
      <c r="A129" s="10" t="s">
        <v>202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</sheetData>
  <sheetProtection/>
  <mergeCells count="697">
    <mergeCell ref="A128:G128"/>
    <mergeCell ref="H128:U128"/>
    <mergeCell ref="A129:U129"/>
    <mergeCell ref="A127:U127"/>
    <mergeCell ref="P125:S125"/>
    <mergeCell ref="T125:U125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0:S120"/>
    <mergeCell ref="T120:U120"/>
    <mergeCell ref="A121:U121"/>
    <mergeCell ref="A122:H122"/>
    <mergeCell ref="I122:J122"/>
    <mergeCell ref="K122:L122"/>
    <mergeCell ref="M122:O122"/>
    <mergeCell ref="P122:S122"/>
    <mergeCell ref="T122:U122"/>
    <mergeCell ref="A120:H120"/>
    <mergeCell ref="I120:J120"/>
    <mergeCell ref="K120:L120"/>
    <mergeCell ref="M120:O120"/>
    <mergeCell ref="P118:S118"/>
    <mergeCell ref="T118:U118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6:S116"/>
    <mergeCell ref="T116:U116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A113:U113"/>
    <mergeCell ref="A114:U114"/>
    <mergeCell ref="A115:H115"/>
    <mergeCell ref="I115:J115"/>
    <mergeCell ref="K115:L115"/>
    <mergeCell ref="M115:O115"/>
    <mergeCell ref="P115:S115"/>
    <mergeCell ref="T115:U115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8:S38"/>
    <mergeCell ref="T38:U38"/>
    <mergeCell ref="A39:U39"/>
    <mergeCell ref="A40:U40"/>
    <mergeCell ref="A38:H38"/>
    <mergeCell ref="I38:J38"/>
    <mergeCell ref="K38:L38"/>
    <mergeCell ref="M38:O38"/>
    <mergeCell ref="P36:S36"/>
    <mergeCell ref="T36:U36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4:S34"/>
    <mergeCell ref="T34:U34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2:S32"/>
    <mergeCell ref="T32:U32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&amp;P из &amp;N</oddFooter>
  </headerFooter>
  <rowBreaks count="2" manualBreakCount="2">
    <brk id="39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SysAdmin</cp:lastModifiedBy>
  <cp:lastPrinted>2016-11-08T04:16:53Z</cp:lastPrinted>
  <dcterms:created xsi:type="dcterms:W3CDTF">2016-10-31T11:32:22Z</dcterms:created>
  <dcterms:modified xsi:type="dcterms:W3CDTF">2016-11-08T09:08:09Z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